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Override PartName="/xl/threadedComments/threadedComment7.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fileSharing readOnlyRecommended="1"/>
  <workbookPr hidePivotFieldList="1" defaultThemeVersion="166925"/>
  <mc:AlternateContent xmlns:mc="http://schemas.openxmlformats.org/markup-compatibility/2006">
    <mc:Choice Requires="x15">
      <x15ac:absPath xmlns:x15ac="http://schemas.microsoft.com/office/spreadsheetml/2010/11/ac" url="/Users/je_bert/Documents/GitHub/e-barometre/flask-app/"/>
    </mc:Choice>
  </mc:AlternateContent>
  <xr:revisionPtr revIDLastSave="0" documentId="13_ncr:1_{3426DCBD-6756-D443-A030-4023087CD1A6}" xr6:coauthVersionLast="47" xr6:coauthVersionMax="47" xr10:uidLastSave="{00000000-0000-0000-0000-000000000000}"/>
  <bookViews>
    <workbookView xWindow="11140" yWindow="700" windowWidth="15900" windowHeight="15380" firstSheet="3" activeTab="6" xr2:uid="{0BAB8E79-48D7-4543-AED8-B159A8501343}"/>
  </bookViews>
  <sheets>
    <sheet name="Synthèse" sheetId="38" r:id="rId1"/>
    <sheet name="Conseils généraux" sheetId="40" r:id="rId2"/>
    <sheet name="Baromètre" sheetId="16" r:id="rId3"/>
    <sheet name="BD baromètres" sheetId="37" r:id="rId4"/>
    <sheet name="BIBLE" sheetId="14" r:id="rId5"/>
    <sheet name="Test_Bible" sheetId="15" r:id="rId6"/>
    <sheet name="TEST_pour PROTOTYPE" sheetId="34" r:id="rId7"/>
    <sheet name="Test de contenu du rapport" sheetId="45" r:id="rId8"/>
    <sheet name="Contexte | CSS" sheetId="39" r:id="rId9"/>
    <sheet name="Cpts miroirs des parents" sheetId="44" r:id="rId10"/>
    <sheet name="Cpts préjudiciables parents" sheetId="41" r:id="rId11"/>
    <sheet name="Indice D'exclusion" sheetId="31" r:id="rId12"/>
    <sheet name="Contribution NC" sheetId="42" r:id="rId13"/>
    <sheet name="Modèle Calcul A-R + Sommaire" sheetId="24" r:id="rId14"/>
    <sheet name="Indice VC" sheetId="17" r:id="rId15"/>
    <sheet name="Santé et Attitude de l'enfant" sheetId="33" r:id="rId16"/>
    <sheet name="Diff" sheetId="20" r:id="rId17"/>
    <sheet name="Analyse Catégories_CEV" sheetId="36" r:id="rId18"/>
    <sheet name="Cpts AR +indép + Sommaire" sheetId="19" r:id="rId19"/>
    <sheet name="Q_qualitatives" sheetId="27" r:id="rId20"/>
    <sheet name="Zone Test_Gradient" sheetId="43" r:id="rId21"/>
  </sheets>
  <definedNames>
    <definedName name="Echelle_croissante" localSheetId="19">Q_qualitatives!#REF!</definedName>
    <definedName name="Echelle_croissante">BIBLE!$M$2:$P$8</definedName>
    <definedName name="Échelle_de_sévérité_des_actions_réactions" localSheetId="13">'Modèle Calcul A-R + Sommaire'!#REF!</definedName>
    <definedName name="Échelle_de_sévérité_des_actions_réactions">#REF!</definedName>
    <definedName name="Echelle_decroissante" localSheetId="19">Q_qualitatives!#REF!</definedName>
    <definedName name="Echelle_decroissante">BIBLE!$M$9:$P$13</definedName>
    <definedName name="Échelle_Exp_Diff">Diff!$AD$12:$AJ$19</definedName>
    <definedName name="Echelle_Lineaire_Diff">Diff!$AD$29:$AN$39</definedName>
    <definedName name="OLE_LINK12" localSheetId="4">BIBLE!$F$74</definedName>
    <definedName name="OLE_LINK12" localSheetId="19">Q_qualitatives!#REF!</definedName>
    <definedName name="solver_cvg" localSheetId="13" hidden="1">0.0001</definedName>
    <definedName name="solver_drv" localSheetId="13" hidden="1">1</definedName>
    <definedName name="solver_eng" localSheetId="13" hidden="1">1</definedName>
    <definedName name="solver_itr" localSheetId="13" hidden="1">2147483647</definedName>
    <definedName name="solver_lin" localSheetId="13" hidden="1">2</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od" localSheetId="13" hidden="1">2147483647</definedName>
    <definedName name="solver_num" localSheetId="13" hidden="1">0</definedName>
    <definedName name="solver_opt" localSheetId="13" hidden="1">'Modèle Calcul A-R + Sommaire'!#REF!</definedName>
    <definedName name="solver_pre" localSheetId="13" hidden="1">0.000001</definedName>
    <definedName name="solver_rbv" localSheetId="13" hidden="1">1</definedName>
    <definedName name="solver_rlx" localSheetId="13" hidden="1">2</definedName>
    <definedName name="solver_rsd" localSheetId="13" hidden="1">0</definedName>
    <definedName name="solver_scl" localSheetId="13" hidden="1">1</definedName>
    <definedName name="solver_sho" localSheetId="13" hidden="1">2</definedName>
    <definedName name="solver_ssz" localSheetId="13" hidden="1">100</definedName>
    <definedName name="solver_tim" localSheetId="13" hidden="1">2147483647</definedName>
    <definedName name="solver_tol" localSheetId="13" hidden="1">0.01</definedName>
    <definedName name="solver_typ" localSheetId="13" hidden="1">1</definedName>
    <definedName name="solver_val" localSheetId="13" hidden="1">0</definedName>
    <definedName name="solver_ver" localSheetId="13" hidden="1">2</definedName>
    <definedName name="Table_Échelles" localSheetId="19">Q_qualitatives!#REF!</definedName>
    <definedName name="Table_Échelles">BIBLE!$AX$2:$AY$13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1" l="1"/>
  <c r="J33" i="41"/>
  <c r="B93" i="45"/>
  <c r="B373" i="45" l="1"/>
  <c r="AI596" i="34"/>
  <c r="AI597" i="34"/>
  <c r="AI598" i="34"/>
  <c r="AI599" i="34"/>
  <c r="AY10" i="24"/>
  <c r="B358" i="45" l="1"/>
  <c r="B126" i="45"/>
  <c r="H55" i="41"/>
  <c r="B357" i="45"/>
  <c r="B355" i="45"/>
  <c r="B407" i="45"/>
  <c r="B406" i="45"/>
  <c r="B405" i="45"/>
  <c r="B404" i="45"/>
  <c r="B403" i="45"/>
  <c r="B402" i="45"/>
  <c r="B401" i="45"/>
  <c r="B400" i="45"/>
  <c r="B399" i="45"/>
  <c r="B398" i="45"/>
  <c r="B388" i="45"/>
  <c r="B387" i="45"/>
  <c r="B376" i="45"/>
  <c r="B359" i="45"/>
  <c r="C45" i="41"/>
  <c r="C11" i="41"/>
  <c r="C46" i="41"/>
  <c r="K24" i="44" l="1"/>
  <c r="K25" i="44"/>
  <c r="D23" i="44"/>
  <c r="B83" i="45" l="1"/>
  <c r="B353" i="45"/>
  <c r="B352" i="45"/>
  <c r="B299" i="45"/>
  <c r="B224" i="45"/>
  <c r="B128" i="45"/>
  <c r="B117" i="45"/>
  <c r="B287" i="45"/>
  <c r="B285" i="45"/>
  <c r="B254" i="45"/>
  <c r="B228" i="45"/>
  <c r="B226" i="45"/>
  <c r="B116" i="45"/>
  <c r="B114" i="45"/>
  <c r="B327" i="45"/>
  <c r="B301" i="45"/>
  <c r="B230" i="45"/>
  <c r="B177" i="45"/>
  <c r="B130" i="45"/>
  <c r="B91" i="45"/>
  <c r="B104" i="45"/>
  <c r="B16" i="45"/>
  <c r="B69" i="45"/>
  <c r="B71" i="45"/>
  <c r="C35" i="39"/>
  <c r="B35" i="39"/>
  <c r="B8" i="45"/>
  <c r="B5" i="45"/>
  <c r="C9" i="41"/>
  <c r="A455" i="34" l="1"/>
  <c r="AG40" i="24"/>
  <c r="AK38" i="24"/>
  <c r="AK32" i="24"/>
  <c r="E682" i="34" l="1"/>
  <c r="E622" i="34"/>
  <c r="E640" i="34"/>
  <c r="E655" i="34"/>
  <c r="M589" i="34"/>
  <c r="AK470" i="34"/>
  <c r="B477" i="34" l="1"/>
  <c r="C515" i="34"/>
  <c r="F549" i="34"/>
  <c r="F538" i="34"/>
  <c r="H473" i="34"/>
  <c r="B463" i="34"/>
  <c r="B450" i="34"/>
  <c r="H463" i="34"/>
  <c r="H448" i="34"/>
  <c r="B434" i="34"/>
  <c r="D545" i="34"/>
  <c r="G6" i="42"/>
  <c r="A464" i="34"/>
  <c r="AB33" i="44"/>
  <c r="AB34" i="44"/>
  <c r="AB35" i="44"/>
  <c r="AB36" i="44"/>
  <c r="AB37" i="44"/>
  <c r="K37" i="44"/>
  <c r="K36" i="44"/>
  <c r="K35" i="44"/>
  <c r="K34" i="44"/>
  <c r="K33" i="44"/>
  <c r="K32" i="44"/>
  <c r="D37" i="44"/>
  <c r="D35" i="44"/>
  <c r="D34" i="44"/>
  <c r="D33" i="44"/>
  <c r="D32" i="44"/>
  <c r="K26" i="44"/>
  <c r="K23" i="44"/>
  <c r="K22" i="44"/>
  <c r="K20" i="44"/>
  <c r="K19" i="44"/>
  <c r="D26" i="44"/>
  <c r="D25" i="44"/>
  <c r="D24" i="44"/>
  <c r="D22" i="44"/>
  <c r="D20" i="44"/>
  <c r="D19" i="44"/>
  <c r="AB32" i="44"/>
  <c r="AB20" i="44"/>
  <c r="AB21" i="44"/>
  <c r="AB22" i="44"/>
  <c r="AB23" i="44"/>
  <c r="AB24" i="44"/>
  <c r="AB25" i="44"/>
  <c r="AB26" i="44"/>
  <c r="AB19" i="44"/>
  <c r="B35" i="41"/>
  <c r="AJ496" i="34" s="1"/>
  <c r="C35" i="41"/>
  <c r="AK496" i="34" s="1"/>
  <c r="J21" i="44"/>
  <c r="C20" i="44"/>
  <c r="O21" i="44"/>
  <c r="H21" i="44"/>
  <c r="E21" i="44"/>
  <c r="C21" i="44"/>
  <c r="O146" i="44"/>
  <c r="M146" i="44"/>
  <c r="L146" i="44"/>
  <c r="K146" i="44"/>
  <c r="J146" i="44"/>
  <c r="H146" i="44"/>
  <c r="E146" i="44"/>
  <c r="D146" i="44"/>
  <c r="C146" i="44"/>
  <c r="O144" i="44"/>
  <c r="L144" i="44"/>
  <c r="K144" i="44"/>
  <c r="J144" i="44"/>
  <c r="H144" i="44"/>
  <c r="F144" i="44"/>
  <c r="E144" i="44"/>
  <c r="D144" i="44"/>
  <c r="C144" i="44"/>
  <c r="O142" i="44"/>
  <c r="L142" i="44"/>
  <c r="K142" i="44"/>
  <c r="J142" i="44"/>
  <c r="H142" i="44"/>
  <c r="E142" i="44"/>
  <c r="D142" i="44"/>
  <c r="C142" i="44"/>
  <c r="O140" i="44"/>
  <c r="L140" i="44"/>
  <c r="K140" i="44"/>
  <c r="J140" i="44"/>
  <c r="H140" i="44"/>
  <c r="F140" i="44"/>
  <c r="E140" i="44"/>
  <c r="D140" i="44"/>
  <c r="C140" i="44"/>
  <c r="O134" i="44"/>
  <c r="L134" i="44"/>
  <c r="K134" i="44"/>
  <c r="J134" i="44"/>
  <c r="H134" i="44"/>
  <c r="F134" i="44"/>
  <c r="E134" i="44"/>
  <c r="D134" i="44"/>
  <c r="C134" i="44"/>
  <c r="O132" i="44"/>
  <c r="L132" i="44"/>
  <c r="K132" i="44"/>
  <c r="J132" i="44"/>
  <c r="H132" i="44"/>
  <c r="E132" i="44"/>
  <c r="D132" i="44"/>
  <c r="C132" i="44"/>
  <c r="O32" i="44"/>
  <c r="L32" i="44"/>
  <c r="J32" i="44"/>
  <c r="H32" i="44"/>
  <c r="E32" i="44"/>
  <c r="A32" i="44" s="1"/>
  <c r="C32" i="44"/>
  <c r="O33" i="44"/>
  <c r="J33" i="44"/>
  <c r="H33" i="44"/>
  <c r="C33" i="44"/>
  <c r="O34" i="44"/>
  <c r="J34" i="44"/>
  <c r="H34" i="44"/>
  <c r="C34" i="44"/>
  <c r="O26" i="44"/>
  <c r="L26" i="44"/>
  <c r="J26" i="44"/>
  <c r="H26" i="44"/>
  <c r="E26" i="44"/>
  <c r="A26" i="44" s="1"/>
  <c r="C26" i="44"/>
  <c r="AB119" i="44"/>
  <c r="O25" i="44"/>
  <c r="L25" i="44"/>
  <c r="J25" i="44"/>
  <c r="H25" i="44"/>
  <c r="E25" i="44"/>
  <c r="C25" i="44"/>
  <c r="AB117" i="44"/>
  <c r="O23" i="44"/>
  <c r="L23" i="44"/>
  <c r="J23" i="44"/>
  <c r="H23" i="44"/>
  <c r="E23" i="44"/>
  <c r="A23" i="44" s="1"/>
  <c r="C23" i="44"/>
  <c r="AB116" i="44"/>
  <c r="O35" i="44"/>
  <c r="L35" i="44"/>
  <c r="J35" i="44"/>
  <c r="H35" i="44"/>
  <c r="C35" i="44"/>
  <c r="AB115" i="44"/>
  <c r="AB114" i="44"/>
  <c r="O37" i="44"/>
  <c r="J37" i="44"/>
  <c r="H37" i="44"/>
  <c r="C37" i="44"/>
  <c r="O36" i="44"/>
  <c r="J36" i="44"/>
  <c r="H36" i="44"/>
  <c r="E36" i="44"/>
  <c r="C36" i="44"/>
  <c r="O24" i="44"/>
  <c r="L24" i="44"/>
  <c r="J24" i="44"/>
  <c r="H24" i="44"/>
  <c r="E24" i="44"/>
  <c r="C24" i="44"/>
  <c r="O22" i="44"/>
  <c r="L22" i="44"/>
  <c r="J22" i="44"/>
  <c r="H22" i="44"/>
  <c r="E22" i="44"/>
  <c r="C22" i="44"/>
  <c r="O20" i="44"/>
  <c r="L20" i="44"/>
  <c r="J20" i="44"/>
  <c r="H20" i="44"/>
  <c r="E20" i="44"/>
  <c r="O19" i="44"/>
  <c r="J19" i="44"/>
  <c r="H19" i="44"/>
  <c r="C19" i="44"/>
  <c r="AI540" i="24"/>
  <c r="AI405" i="24"/>
  <c r="AI404" i="24"/>
  <c r="AI403" i="24"/>
  <c r="AI402" i="24"/>
  <c r="K9" i="43"/>
  <c r="K8" i="43"/>
  <c r="AO767" i="24"/>
  <c r="AN767" i="24"/>
  <c r="AM767" i="24"/>
  <c r="AL767" i="24"/>
  <c r="AK767" i="24"/>
  <c r="AJ767" i="24"/>
  <c r="AO766" i="24"/>
  <c r="AN766" i="24"/>
  <c r="AM766" i="24"/>
  <c r="AL766" i="24"/>
  <c r="AK766" i="24"/>
  <c r="AJ766" i="24"/>
  <c r="AO758" i="24"/>
  <c r="AN758" i="24"/>
  <c r="AM758" i="24"/>
  <c r="AL758" i="24"/>
  <c r="AK758" i="24"/>
  <c r="AJ758" i="24"/>
  <c r="AO757" i="24"/>
  <c r="AN757" i="24"/>
  <c r="AM757" i="24"/>
  <c r="AL757" i="24"/>
  <c r="AK757" i="24"/>
  <c r="AJ757" i="24"/>
  <c r="AO755" i="24"/>
  <c r="AN755" i="24"/>
  <c r="AM755" i="24"/>
  <c r="AL755" i="24"/>
  <c r="AK755" i="24"/>
  <c r="AJ755" i="24"/>
  <c r="AO754" i="24"/>
  <c r="AN754" i="24"/>
  <c r="AM754" i="24"/>
  <c r="AL754" i="24"/>
  <c r="AK754" i="24"/>
  <c r="AJ754" i="24"/>
  <c r="AO748" i="24"/>
  <c r="AN748" i="24"/>
  <c r="AM748" i="24"/>
  <c r="AL748" i="24"/>
  <c r="AK748" i="24"/>
  <c r="AJ748" i="24"/>
  <c r="AO747" i="24"/>
  <c r="AN747" i="24"/>
  <c r="AM747" i="24"/>
  <c r="AL747" i="24"/>
  <c r="AK747" i="24"/>
  <c r="AJ747" i="24"/>
  <c r="AO743" i="24"/>
  <c r="AN743" i="24"/>
  <c r="AM743" i="24"/>
  <c r="AL743" i="24"/>
  <c r="AK743" i="24"/>
  <c r="AJ743" i="24"/>
  <c r="AO739" i="24"/>
  <c r="AN739" i="24"/>
  <c r="AM739" i="24"/>
  <c r="AL739" i="24"/>
  <c r="AK739" i="24"/>
  <c r="AJ739" i="24"/>
  <c r="AO738" i="24"/>
  <c r="AN738" i="24"/>
  <c r="AM738" i="24"/>
  <c r="AL738" i="24"/>
  <c r="AK738" i="24"/>
  <c r="AJ738" i="24"/>
  <c r="AO736" i="24"/>
  <c r="AN736" i="24"/>
  <c r="AM736" i="24"/>
  <c r="AL736" i="24"/>
  <c r="AK736" i="24"/>
  <c r="AJ736" i="24"/>
  <c r="AO735" i="24"/>
  <c r="AN735" i="24"/>
  <c r="AM735" i="24"/>
  <c r="AL735" i="24"/>
  <c r="AK735" i="24"/>
  <c r="AJ735" i="24"/>
  <c r="AO729" i="24"/>
  <c r="AN729" i="24"/>
  <c r="AM729" i="24"/>
  <c r="AL729" i="24"/>
  <c r="AK729" i="24"/>
  <c r="AJ729" i="24"/>
  <c r="AO728" i="24"/>
  <c r="AN728" i="24"/>
  <c r="AM728" i="24"/>
  <c r="AL728" i="24"/>
  <c r="AK728" i="24"/>
  <c r="AJ728" i="24"/>
  <c r="AO719" i="24"/>
  <c r="AN719" i="24"/>
  <c r="AM719" i="24"/>
  <c r="AL719" i="24"/>
  <c r="AK719" i="24"/>
  <c r="AJ719" i="24"/>
  <c r="AO718" i="24"/>
  <c r="AN718" i="24"/>
  <c r="AM718" i="24"/>
  <c r="AL718" i="24"/>
  <c r="AK718" i="24"/>
  <c r="AJ718" i="24"/>
  <c r="AO716" i="24"/>
  <c r="AN716" i="24"/>
  <c r="AM716" i="24"/>
  <c r="AL716" i="24"/>
  <c r="AK716" i="24"/>
  <c r="AJ716" i="24"/>
  <c r="AO715" i="24"/>
  <c r="AN715" i="24"/>
  <c r="AM715" i="24"/>
  <c r="AL715" i="24"/>
  <c r="AK715" i="24"/>
  <c r="AJ715" i="24"/>
  <c r="AO709" i="24"/>
  <c r="AN709" i="24"/>
  <c r="AM709" i="24"/>
  <c r="AL709" i="24"/>
  <c r="AK709" i="24"/>
  <c r="AJ709" i="24"/>
  <c r="AO708" i="24"/>
  <c r="AN708" i="24"/>
  <c r="AM708" i="24"/>
  <c r="AL708" i="24"/>
  <c r="AK708" i="24"/>
  <c r="AJ708" i="24"/>
  <c r="AO704" i="24"/>
  <c r="AN704" i="24"/>
  <c r="AM704" i="24"/>
  <c r="AL704" i="24"/>
  <c r="AK704" i="24"/>
  <c r="AJ704" i="24"/>
  <c r="AO700" i="24"/>
  <c r="AN700" i="24"/>
  <c r="AM700" i="24"/>
  <c r="AL700" i="24"/>
  <c r="AK700" i="24"/>
  <c r="AJ700" i="24"/>
  <c r="AO699" i="24"/>
  <c r="AN699" i="24"/>
  <c r="AM699" i="24"/>
  <c r="AL699" i="24"/>
  <c r="AK699" i="24"/>
  <c r="AJ699" i="24"/>
  <c r="AO697" i="24"/>
  <c r="AN697" i="24"/>
  <c r="AM697" i="24"/>
  <c r="AL697" i="24"/>
  <c r="AK697" i="24"/>
  <c r="AJ697" i="24"/>
  <c r="AO696" i="24"/>
  <c r="AN696" i="24"/>
  <c r="AM696" i="24"/>
  <c r="AL696" i="24"/>
  <c r="AK696" i="24"/>
  <c r="AJ696" i="24"/>
  <c r="AO690" i="24"/>
  <c r="AN690" i="24"/>
  <c r="AM690" i="24"/>
  <c r="AL690" i="24"/>
  <c r="AK690" i="24"/>
  <c r="AJ690" i="24"/>
  <c r="AO689" i="24"/>
  <c r="AN689" i="24"/>
  <c r="AM689" i="24"/>
  <c r="AL689" i="24"/>
  <c r="AK689" i="24"/>
  <c r="AJ689" i="24"/>
  <c r="AO685" i="24"/>
  <c r="AN685" i="24"/>
  <c r="AM685" i="24"/>
  <c r="AL685" i="24"/>
  <c r="AK685" i="24"/>
  <c r="AJ685" i="24"/>
  <c r="AO684" i="24"/>
  <c r="AN684" i="24"/>
  <c r="AM684" i="24"/>
  <c r="AL684" i="24"/>
  <c r="AK684" i="24"/>
  <c r="AJ684" i="24"/>
  <c r="AO681" i="24"/>
  <c r="AN681" i="24"/>
  <c r="AM681" i="24"/>
  <c r="AL681" i="24"/>
  <c r="AK681" i="24"/>
  <c r="AJ681" i="24"/>
  <c r="AO680" i="24"/>
  <c r="AN680" i="24"/>
  <c r="AM680" i="24"/>
  <c r="AL680" i="24"/>
  <c r="AK680" i="24"/>
  <c r="AJ680" i="24"/>
  <c r="AO678" i="24"/>
  <c r="AN678" i="24"/>
  <c r="AM678" i="24"/>
  <c r="AL678" i="24"/>
  <c r="AK678" i="24"/>
  <c r="AJ678" i="24"/>
  <c r="AO667" i="24"/>
  <c r="AN667" i="24"/>
  <c r="AM667" i="24"/>
  <c r="AL667" i="24"/>
  <c r="AK667" i="24"/>
  <c r="AJ667" i="24"/>
  <c r="AO662" i="24"/>
  <c r="AN662" i="24"/>
  <c r="AM662" i="24"/>
  <c r="AL662" i="24"/>
  <c r="AK662" i="24"/>
  <c r="AJ662" i="24"/>
  <c r="AO661" i="24"/>
  <c r="AN661" i="24"/>
  <c r="AM661" i="24"/>
  <c r="AL661" i="24"/>
  <c r="AK661" i="24"/>
  <c r="AJ661" i="24"/>
  <c r="AO658" i="24"/>
  <c r="AN658" i="24"/>
  <c r="AM658" i="24"/>
  <c r="AL658" i="24"/>
  <c r="AK658" i="24"/>
  <c r="AJ658" i="24"/>
  <c r="AO657" i="24"/>
  <c r="AN657" i="24"/>
  <c r="AM657" i="24"/>
  <c r="AL657" i="24"/>
  <c r="AL659" i="24" s="1"/>
  <c r="AK657" i="24"/>
  <c r="AJ657" i="24"/>
  <c r="AM659" i="24"/>
  <c r="AO655" i="24"/>
  <c r="AN655" i="24"/>
  <c r="AM655" i="24"/>
  <c r="AL655" i="24"/>
  <c r="AK655" i="24"/>
  <c r="AJ655" i="24"/>
  <c r="AO646" i="24"/>
  <c r="AN646" i="24"/>
  <c r="AM646" i="24"/>
  <c r="AL646" i="24"/>
  <c r="AK646" i="24"/>
  <c r="AJ646" i="24"/>
  <c r="AO641" i="24"/>
  <c r="AN641" i="24"/>
  <c r="AM641" i="24"/>
  <c r="AL641" i="24"/>
  <c r="AK641" i="24"/>
  <c r="AJ641" i="24"/>
  <c r="AO640" i="24"/>
  <c r="AN640" i="24"/>
  <c r="AM640" i="24"/>
  <c r="AL640" i="24"/>
  <c r="AK640" i="24"/>
  <c r="AJ640" i="24"/>
  <c r="AO637" i="24"/>
  <c r="AN637" i="24"/>
  <c r="AM637" i="24"/>
  <c r="AL637" i="24"/>
  <c r="AK637" i="24"/>
  <c r="AJ637" i="24"/>
  <c r="AO636" i="24"/>
  <c r="AN636" i="24"/>
  <c r="AM636" i="24"/>
  <c r="AL636" i="24"/>
  <c r="AK636" i="24"/>
  <c r="AJ636" i="24"/>
  <c r="AO634" i="24"/>
  <c r="AN634" i="24"/>
  <c r="AM634" i="24"/>
  <c r="AL634" i="24"/>
  <c r="AK634" i="24"/>
  <c r="AJ634" i="24"/>
  <c r="AO626" i="24"/>
  <c r="AN626" i="24"/>
  <c r="AM626" i="24"/>
  <c r="AL626" i="24"/>
  <c r="AK626" i="24"/>
  <c r="AJ626" i="24"/>
  <c r="AO621" i="24"/>
  <c r="AN621" i="24"/>
  <c r="AM621" i="24"/>
  <c r="AL621" i="24"/>
  <c r="AK621" i="24"/>
  <c r="AJ621" i="24"/>
  <c r="AO620" i="24"/>
  <c r="AN620" i="24"/>
  <c r="AM620" i="24"/>
  <c r="AL620" i="24"/>
  <c r="AK620" i="24"/>
  <c r="AJ620" i="24"/>
  <c r="AO617" i="24"/>
  <c r="AN617" i="24"/>
  <c r="AM617" i="24"/>
  <c r="AL617" i="24"/>
  <c r="AK617" i="24"/>
  <c r="AJ617" i="24"/>
  <c r="AO616" i="24"/>
  <c r="AN616" i="24"/>
  <c r="AM616" i="24"/>
  <c r="AL616" i="24"/>
  <c r="AK616" i="24"/>
  <c r="AJ616" i="24"/>
  <c r="AO614" i="24"/>
  <c r="AN614" i="24"/>
  <c r="AM614" i="24"/>
  <c r="AL614" i="24"/>
  <c r="AK614" i="24"/>
  <c r="AJ614" i="24"/>
  <c r="AO606" i="24"/>
  <c r="AN606" i="24"/>
  <c r="AM606" i="24"/>
  <c r="AL606" i="24"/>
  <c r="AK606" i="24"/>
  <c r="AJ606" i="24"/>
  <c r="AO601" i="24"/>
  <c r="AN601" i="24"/>
  <c r="AM601" i="24"/>
  <c r="AL601" i="24"/>
  <c r="AK601" i="24"/>
  <c r="AJ601" i="24"/>
  <c r="AO600" i="24"/>
  <c r="AN600" i="24"/>
  <c r="AM600" i="24"/>
  <c r="AL600" i="24"/>
  <c r="AK600" i="24"/>
  <c r="AJ600" i="24"/>
  <c r="AO597" i="24"/>
  <c r="AN597" i="24"/>
  <c r="AM597" i="24"/>
  <c r="AL597" i="24"/>
  <c r="AK597" i="24"/>
  <c r="AJ597" i="24"/>
  <c r="AO596" i="24"/>
  <c r="AN596" i="24"/>
  <c r="AM596" i="24"/>
  <c r="AL596" i="24"/>
  <c r="AK596" i="24"/>
  <c r="AJ596" i="24"/>
  <c r="AO594" i="24"/>
  <c r="AN594" i="24"/>
  <c r="AM594" i="24"/>
  <c r="AL594" i="24"/>
  <c r="AK594" i="24"/>
  <c r="AJ594" i="24"/>
  <c r="AO586" i="24"/>
  <c r="AN586" i="24"/>
  <c r="AM586" i="24"/>
  <c r="AL586" i="24"/>
  <c r="AK586" i="24"/>
  <c r="AJ586" i="24"/>
  <c r="AO581" i="24"/>
  <c r="AN581" i="24"/>
  <c r="AM581" i="24"/>
  <c r="AL581" i="24"/>
  <c r="AK581" i="24"/>
  <c r="AJ581" i="24"/>
  <c r="AO580" i="24"/>
  <c r="AN580" i="24"/>
  <c r="AM580" i="24"/>
  <c r="AL580" i="24"/>
  <c r="AK580" i="24"/>
  <c r="AJ580" i="24"/>
  <c r="AO577" i="24"/>
  <c r="AN577" i="24"/>
  <c r="AM577" i="24"/>
  <c r="AL577" i="24"/>
  <c r="AK577" i="24"/>
  <c r="AJ577" i="24"/>
  <c r="AO576" i="24"/>
  <c r="AN576" i="24"/>
  <c r="AM576" i="24"/>
  <c r="AL576" i="24"/>
  <c r="AK576" i="24"/>
  <c r="AJ576" i="24"/>
  <c r="AO574" i="24"/>
  <c r="AN574" i="24"/>
  <c r="AM574" i="24"/>
  <c r="AL574" i="24"/>
  <c r="AK574" i="24"/>
  <c r="AJ574" i="24"/>
  <c r="AO566" i="24"/>
  <c r="AN566" i="24"/>
  <c r="AM566" i="24"/>
  <c r="AL566" i="24"/>
  <c r="AK566" i="24"/>
  <c r="AJ566" i="24"/>
  <c r="AM561" i="24"/>
  <c r="AL561" i="24"/>
  <c r="AK561" i="24"/>
  <c r="AJ561" i="24"/>
  <c r="AM560" i="24"/>
  <c r="AL560" i="24"/>
  <c r="AK560" i="24"/>
  <c r="AJ560" i="24"/>
  <c r="AO557" i="24"/>
  <c r="AN557" i="24"/>
  <c r="AM557" i="24"/>
  <c r="AL557" i="24"/>
  <c r="AK557" i="24"/>
  <c r="AJ557" i="24"/>
  <c r="AO556" i="24"/>
  <c r="AN556" i="24"/>
  <c r="AM556" i="24"/>
  <c r="AL556" i="24"/>
  <c r="AK556" i="24"/>
  <c r="AJ556" i="24"/>
  <c r="AO554" i="24"/>
  <c r="AN554" i="24"/>
  <c r="AM554" i="24"/>
  <c r="AL554" i="24"/>
  <c r="AK554" i="24"/>
  <c r="AJ554" i="24"/>
  <c r="AO524" i="24"/>
  <c r="AN524" i="24"/>
  <c r="AM524" i="24"/>
  <c r="AL524" i="24"/>
  <c r="AK524" i="24"/>
  <c r="AJ524" i="24"/>
  <c r="AO518" i="24"/>
  <c r="AN518" i="24"/>
  <c r="AM518" i="24"/>
  <c r="AL518" i="24"/>
  <c r="AK518" i="24"/>
  <c r="AJ518" i="24"/>
  <c r="AO515" i="24"/>
  <c r="AN515" i="24"/>
  <c r="AM515" i="24"/>
  <c r="AL515" i="24"/>
  <c r="AK515" i="24"/>
  <c r="AJ515" i="24"/>
  <c r="AO514" i="24"/>
  <c r="AN514" i="24"/>
  <c r="AM514" i="24"/>
  <c r="AL514" i="24"/>
  <c r="AK514" i="24"/>
  <c r="AJ514" i="24"/>
  <c r="AO505" i="24"/>
  <c r="AN505" i="24"/>
  <c r="AM505" i="24"/>
  <c r="AL505" i="24"/>
  <c r="AK505" i="24"/>
  <c r="AJ505" i="24"/>
  <c r="AO504" i="24"/>
  <c r="AN504" i="24"/>
  <c r="AM504" i="24"/>
  <c r="AL504" i="24"/>
  <c r="AK504" i="24"/>
  <c r="AJ504" i="24"/>
  <c r="AO500" i="24"/>
  <c r="AN500" i="24"/>
  <c r="AM500" i="24"/>
  <c r="AL500" i="24"/>
  <c r="AK500" i="24"/>
  <c r="AJ500" i="24"/>
  <c r="AO496" i="24"/>
  <c r="AN496" i="24"/>
  <c r="AM496" i="24"/>
  <c r="AL496" i="24"/>
  <c r="AK496" i="24"/>
  <c r="AJ496" i="24"/>
  <c r="AO495" i="24"/>
  <c r="AN495" i="24"/>
  <c r="AM495" i="24"/>
  <c r="AL495" i="24"/>
  <c r="AK495" i="24"/>
  <c r="AJ495" i="24"/>
  <c r="AO486" i="24"/>
  <c r="AN486" i="24"/>
  <c r="AM486" i="24"/>
  <c r="AL486" i="24"/>
  <c r="AK486" i="24"/>
  <c r="AJ486" i="24"/>
  <c r="AO485" i="24"/>
  <c r="AN485" i="24"/>
  <c r="AM485" i="24"/>
  <c r="AL485" i="24"/>
  <c r="AK485" i="24"/>
  <c r="AJ485" i="24"/>
  <c r="AO481" i="24"/>
  <c r="AN481" i="24"/>
  <c r="AM481" i="24"/>
  <c r="AL481" i="24"/>
  <c r="AK481" i="24"/>
  <c r="AJ481" i="24"/>
  <c r="AO477" i="24"/>
  <c r="AN477" i="24"/>
  <c r="AM477" i="24"/>
  <c r="AL477" i="24"/>
  <c r="AK477" i="24"/>
  <c r="AJ477" i="24"/>
  <c r="AO474" i="24"/>
  <c r="AN474" i="24"/>
  <c r="AM474" i="24"/>
  <c r="AL474" i="24"/>
  <c r="AK474" i="24"/>
  <c r="AJ474" i="24"/>
  <c r="AO467" i="24"/>
  <c r="AN467" i="24"/>
  <c r="AM467" i="24"/>
  <c r="AL467" i="24"/>
  <c r="AK467" i="24"/>
  <c r="AJ467" i="24"/>
  <c r="AO462" i="24"/>
  <c r="AN462" i="24"/>
  <c r="AM462" i="24"/>
  <c r="AL462" i="24"/>
  <c r="AK462" i="24"/>
  <c r="AJ462" i="24"/>
  <c r="AO458" i="24"/>
  <c r="AN458" i="24"/>
  <c r="AM458" i="24"/>
  <c r="AL458" i="24"/>
  <c r="AK458" i="24"/>
  <c r="AJ458" i="24"/>
  <c r="AO457" i="24"/>
  <c r="AN457" i="24"/>
  <c r="AM457" i="24"/>
  <c r="AL457" i="24"/>
  <c r="AK457" i="24"/>
  <c r="AJ457" i="24"/>
  <c r="AO448" i="24"/>
  <c r="AN448" i="24"/>
  <c r="AM448" i="24"/>
  <c r="AL448" i="24"/>
  <c r="AK448" i="24"/>
  <c r="AJ448" i="24"/>
  <c r="AO443" i="24"/>
  <c r="AN443" i="24"/>
  <c r="AM443" i="24"/>
  <c r="AL443" i="24"/>
  <c r="AK443" i="24"/>
  <c r="AJ443" i="24"/>
  <c r="AO439" i="24"/>
  <c r="AN439" i="24"/>
  <c r="AM439" i="24"/>
  <c r="AL439" i="24"/>
  <c r="AK439" i="24"/>
  <c r="AJ439" i="24"/>
  <c r="AO438" i="24"/>
  <c r="AN438" i="24"/>
  <c r="AM438" i="24"/>
  <c r="AL438" i="24"/>
  <c r="AK438" i="24"/>
  <c r="AJ438" i="24"/>
  <c r="AO436" i="24"/>
  <c r="AN436" i="24"/>
  <c r="AM436" i="24"/>
  <c r="AL436" i="24"/>
  <c r="AK436" i="24"/>
  <c r="AJ436" i="24"/>
  <c r="AO429" i="24"/>
  <c r="AN429" i="24"/>
  <c r="AM429" i="24"/>
  <c r="AL429" i="24"/>
  <c r="AK429" i="24"/>
  <c r="AJ429" i="24"/>
  <c r="AO424" i="24"/>
  <c r="AN424" i="24"/>
  <c r="AM424" i="24"/>
  <c r="AL424" i="24"/>
  <c r="AK424" i="24"/>
  <c r="AJ424" i="24"/>
  <c r="AO416" i="24"/>
  <c r="AN416" i="24"/>
  <c r="AM416" i="24"/>
  <c r="AL416" i="24"/>
  <c r="AK416" i="24"/>
  <c r="AJ416" i="24"/>
  <c r="AO409" i="24"/>
  <c r="AN409" i="24"/>
  <c r="AM409" i="24"/>
  <c r="AL409" i="24"/>
  <c r="AK409" i="24"/>
  <c r="AJ409" i="24"/>
  <c r="AO399" i="24"/>
  <c r="AN399" i="24"/>
  <c r="AM399" i="24"/>
  <c r="AL399" i="24"/>
  <c r="AK399" i="24"/>
  <c r="AJ399" i="24"/>
  <c r="AO398" i="24"/>
  <c r="AN398" i="24"/>
  <c r="AM398" i="24"/>
  <c r="AL398" i="24"/>
  <c r="AK398" i="24"/>
  <c r="AJ398" i="24"/>
  <c r="AO396" i="24"/>
  <c r="AN396" i="24"/>
  <c r="AM396" i="24"/>
  <c r="AL396" i="24"/>
  <c r="AK396" i="24"/>
  <c r="AJ396" i="24"/>
  <c r="AO389" i="24"/>
  <c r="AN389" i="24"/>
  <c r="AM389" i="24"/>
  <c r="AL389" i="24"/>
  <c r="AK389" i="24"/>
  <c r="AJ389" i="24"/>
  <c r="AO388" i="24"/>
  <c r="AN388" i="24"/>
  <c r="AM388" i="24"/>
  <c r="AL388" i="24"/>
  <c r="AK388" i="24"/>
  <c r="AJ388" i="24"/>
  <c r="AO384" i="24"/>
  <c r="AN384" i="24"/>
  <c r="AM384" i="24"/>
  <c r="AL384" i="24"/>
  <c r="AK384" i="24"/>
  <c r="AJ384" i="24"/>
  <c r="AO380" i="24"/>
  <c r="AN380" i="24"/>
  <c r="AM380" i="24"/>
  <c r="AL380" i="24"/>
  <c r="AK380" i="24"/>
  <c r="AJ380" i="24"/>
  <c r="AO379" i="24"/>
  <c r="AN379" i="24"/>
  <c r="AM379" i="24"/>
  <c r="AL379" i="24"/>
  <c r="AK379" i="24"/>
  <c r="AJ379" i="24"/>
  <c r="AO377" i="24"/>
  <c r="AN377" i="24"/>
  <c r="AM377" i="24"/>
  <c r="AL377" i="24"/>
  <c r="AK377" i="24"/>
  <c r="AJ377" i="24"/>
  <c r="AO370" i="24"/>
  <c r="AN370" i="24"/>
  <c r="AM370" i="24"/>
  <c r="AL370" i="24"/>
  <c r="AK370" i="24"/>
  <c r="AJ370" i="24"/>
  <c r="AO369" i="24"/>
  <c r="AN369" i="24"/>
  <c r="AM369" i="24"/>
  <c r="AL369" i="24"/>
  <c r="AK369" i="24"/>
  <c r="AJ369" i="24"/>
  <c r="AO365" i="24"/>
  <c r="AN365" i="24"/>
  <c r="AM365" i="24"/>
  <c r="AL365" i="24"/>
  <c r="AK365" i="24"/>
  <c r="AJ365" i="24"/>
  <c r="AO361" i="24"/>
  <c r="AN361" i="24"/>
  <c r="AM361" i="24"/>
  <c r="AL361" i="24"/>
  <c r="AK361" i="24"/>
  <c r="AJ361" i="24"/>
  <c r="AO360" i="24"/>
  <c r="AN360" i="24"/>
  <c r="AM360" i="24"/>
  <c r="AL360" i="24"/>
  <c r="AK360" i="24"/>
  <c r="AJ360" i="24"/>
  <c r="AO358" i="24"/>
  <c r="AN358" i="24"/>
  <c r="AM358" i="24"/>
  <c r="AL358" i="24"/>
  <c r="AK358" i="24"/>
  <c r="AJ358" i="24"/>
  <c r="AO351" i="24"/>
  <c r="AN351" i="24"/>
  <c r="AM351" i="24"/>
  <c r="AL351" i="24"/>
  <c r="AK351" i="24"/>
  <c r="AJ351" i="24"/>
  <c r="AO350" i="24"/>
  <c r="AN350" i="24"/>
  <c r="AM350" i="24"/>
  <c r="AL350" i="24"/>
  <c r="AK350" i="24"/>
  <c r="AJ350" i="24"/>
  <c r="AO342" i="24"/>
  <c r="AN342" i="24"/>
  <c r="AM342" i="24"/>
  <c r="AL342" i="24"/>
  <c r="AK342" i="24"/>
  <c r="AJ342" i="24"/>
  <c r="AO332" i="24"/>
  <c r="AN332" i="24"/>
  <c r="AM332" i="24"/>
  <c r="AL332" i="24"/>
  <c r="AK332" i="24"/>
  <c r="AJ332" i="24"/>
  <c r="AO327" i="24"/>
  <c r="AN327" i="24"/>
  <c r="AM327" i="24"/>
  <c r="AL327" i="24"/>
  <c r="AK327" i="24"/>
  <c r="AJ327" i="24"/>
  <c r="AO323" i="24"/>
  <c r="AN323" i="24"/>
  <c r="AM323" i="24"/>
  <c r="AL323" i="24"/>
  <c r="AK323" i="24"/>
  <c r="AJ323" i="24"/>
  <c r="AO320" i="24"/>
  <c r="AN320" i="24"/>
  <c r="AM320" i="24"/>
  <c r="AL320" i="24"/>
  <c r="AK320" i="24"/>
  <c r="AJ320" i="24"/>
  <c r="AO313" i="24"/>
  <c r="AN313" i="24"/>
  <c r="AM313" i="24"/>
  <c r="AL313" i="24"/>
  <c r="AK313" i="24"/>
  <c r="AJ313" i="24"/>
  <c r="AO312" i="24"/>
  <c r="AN312" i="24"/>
  <c r="AM312" i="24"/>
  <c r="AL312" i="24"/>
  <c r="AK312" i="24"/>
  <c r="AJ312" i="24"/>
  <c r="AO304" i="24"/>
  <c r="AN304" i="24"/>
  <c r="AM304" i="24"/>
  <c r="AL304" i="24"/>
  <c r="AK304" i="24"/>
  <c r="AJ304" i="24"/>
  <c r="AO294" i="24"/>
  <c r="AN294" i="24"/>
  <c r="AM294" i="24"/>
  <c r="AL294" i="24"/>
  <c r="AK294" i="24"/>
  <c r="AJ294" i="24"/>
  <c r="AO293" i="24"/>
  <c r="AN293" i="24"/>
  <c r="AM293" i="24"/>
  <c r="AL293" i="24"/>
  <c r="AK293" i="24"/>
  <c r="AJ293" i="24"/>
  <c r="AO285" i="24"/>
  <c r="AN285" i="24"/>
  <c r="AM285" i="24"/>
  <c r="AL285" i="24"/>
  <c r="AK285" i="24"/>
  <c r="AJ285" i="24"/>
  <c r="AO275" i="24"/>
  <c r="AN275" i="24"/>
  <c r="AM275" i="24"/>
  <c r="AL275" i="24"/>
  <c r="AK275" i="24"/>
  <c r="AJ275" i="24"/>
  <c r="AO274" i="24"/>
  <c r="AN274" i="24"/>
  <c r="AM274" i="24"/>
  <c r="AL274" i="24"/>
  <c r="AK274" i="24"/>
  <c r="AJ274" i="24"/>
  <c r="AO266" i="24"/>
  <c r="AN266" i="24"/>
  <c r="AM266" i="24"/>
  <c r="AL266" i="24"/>
  <c r="AK266" i="24"/>
  <c r="AJ266" i="24"/>
  <c r="AO263" i="24"/>
  <c r="AN263" i="24"/>
  <c r="AM263" i="24"/>
  <c r="AL263" i="24"/>
  <c r="AK263" i="24"/>
  <c r="AJ263" i="24"/>
  <c r="AO256" i="24"/>
  <c r="AN256" i="24"/>
  <c r="AM256" i="24"/>
  <c r="AL256" i="24"/>
  <c r="AK256" i="24"/>
  <c r="AJ256" i="24"/>
  <c r="AO255" i="24"/>
  <c r="AN255" i="24"/>
  <c r="AM255" i="24"/>
  <c r="AL255" i="24"/>
  <c r="AK255" i="24"/>
  <c r="AJ255" i="24"/>
  <c r="AO247" i="24"/>
  <c r="AN247" i="24"/>
  <c r="AM247" i="24"/>
  <c r="AL247" i="24"/>
  <c r="AK247" i="24"/>
  <c r="AJ247" i="24"/>
  <c r="AO246" i="24"/>
  <c r="AN246" i="24"/>
  <c r="AM246" i="24"/>
  <c r="AL246" i="24"/>
  <c r="AK246" i="24"/>
  <c r="AJ246" i="24"/>
  <c r="AO244" i="24"/>
  <c r="AN244" i="24"/>
  <c r="AM244" i="24"/>
  <c r="AL244" i="24"/>
  <c r="AK244" i="24"/>
  <c r="AJ244" i="24"/>
  <c r="AO237" i="24"/>
  <c r="AN237" i="24"/>
  <c r="AM237" i="24"/>
  <c r="AL237" i="24"/>
  <c r="AK237" i="24"/>
  <c r="AJ237" i="24"/>
  <c r="AO236" i="24"/>
  <c r="AN236" i="24"/>
  <c r="AM236" i="24"/>
  <c r="AL236" i="24"/>
  <c r="AK236" i="24"/>
  <c r="AJ236" i="24"/>
  <c r="AO232" i="24"/>
  <c r="AN232" i="24"/>
  <c r="AM232" i="24"/>
  <c r="AL232" i="24"/>
  <c r="AK232" i="24"/>
  <c r="AJ232" i="24"/>
  <c r="AO228" i="24"/>
  <c r="AN228" i="24"/>
  <c r="AM228" i="24"/>
  <c r="AL228" i="24"/>
  <c r="AK228" i="24"/>
  <c r="AJ228" i="24"/>
  <c r="AO218" i="24"/>
  <c r="AN218" i="24"/>
  <c r="AM218" i="24"/>
  <c r="AL218" i="24"/>
  <c r="AK218" i="24"/>
  <c r="AJ218" i="24"/>
  <c r="AO213" i="24"/>
  <c r="AN213" i="24"/>
  <c r="AM213" i="24"/>
  <c r="AL213" i="24"/>
  <c r="AK213" i="24"/>
  <c r="AJ213" i="24"/>
  <c r="AO206" i="24"/>
  <c r="AN206" i="24"/>
  <c r="AM206" i="24"/>
  <c r="AL206" i="24"/>
  <c r="AK206" i="24"/>
  <c r="AJ206" i="24"/>
  <c r="AO199" i="24"/>
  <c r="AN199" i="24"/>
  <c r="AM199" i="24"/>
  <c r="AL199" i="24"/>
  <c r="AK199" i="24"/>
  <c r="AJ199" i="24"/>
  <c r="AO190" i="24"/>
  <c r="AN190" i="24"/>
  <c r="AM190" i="24"/>
  <c r="AL190" i="24"/>
  <c r="AK190" i="24"/>
  <c r="AJ190" i="24"/>
  <c r="AO187" i="24"/>
  <c r="AN187" i="24"/>
  <c r="AM187" i="24"/>
  <c r="AL187" i="24"/>
  <c r="AK187" i="24"/>
  <c r="AJ187" i="24"/>
  <c r="AO179" i="24"/>
  <c r="AN179" i="24"/>
  <c r="AM179" i="24"/>
  <c r="AL179" i="24"/>
  <c r="AK179" i="24"/>
  <c r="AJ179" i="24"/>
  <c r="AO171" i="24"/>
  <c r="AN171" i="24"/>
  <c r="AM171" i="24"/>
  <c r="AL171" i="24"/>
  <c r="AK171" i="24"/>
  <c r="AJ171" i="24"/>
  <c r="AO170" i="24"/>
  <c r="AN170" i="24"/>
  <c r="AM170" i="24"/>
  <c r="AL170" i="24"/>
  <c r="AK170" i="24"/>
  <c r="AJ170" i="24"/>
  <c r="AO168" i="24"/>
  <c r="AN168" i="24"/>
  <c r="AM168" i="24"/>
  <c r="AL168" i="24"/>
  <c r="AK168" i="24"/>
  <c r="AJ168" i="24"/>
  <c r="AO161" i="24"/>
  <c r="AN161" i="24"/>
  <c r="AM161" i="24"/>
  <c r="AL161" i="24"/>
  <c r="AK161" i="24"/>
  <c r="AJ161" i="24"/>
  <c r="AO160" i="24"/>
  <c r="AN160" i="24"/>
  <c r="AM160" i="24"/>
  <c r="AL160" i="24"/>
  <c r="AK160" i="24"/>
  <c r="AJ160" i="24"/>
  <c r="AO156" i="24"/>
  <c r="AN156" i="24"/>
  <c r="AM156" i="24"/>
  <c r="AL156" i="24"/>
  <c r="AK156" i="24"/>
  <c r="AJ156" i="24"/>
  <c r="AO152" i="24"/>
  <c r="AN152" i="24"/>
  <c r="AM152" i="24"/>
  <c r="AL152" i="24"/>
  <c r="AK152" i="24"/>
  <c r="AJ152" i="24"/>
  <c r="AO151" i="24"/>
  <c r="AN151" i="24"/>
  <c r="AM151" i="24"/>
  <c r="AL151" i="24"/>
  <c r="AK151" i="24"/>
  <c r="AJ151" i="24"/>
  <c r="AJ153" i="24" s="1"/>
  <c r="AO141" i="24"/>
  <c r="AN141" i="24"/>
  <c r="AM141" i="24"/>
  <c r="AL141" i="24"/>
  <c r="AK141" i="24"/>
  <c r="AJ141" i="24"/>
  <c r="AO140" i="24"/>
  <c r="AN140" i="24"/>
  <c r="AM140" i="24"/>
  <c r="AL140" i="24"/>
  <c r="AK140" i="24"/>
  <c r="AJ140" i="24"/>
  <c r="AO136" i="24"/>
  <c r="AN136" i="24"/>
  <c r="AM136" i="24"/>
  <c r="AL136" i="24"/>
  <c r="AK136" i="24"/>
  <c r="AJ136" i="24"/>
  <c r="AO132" i="24"/>
  <c r="AN132" i="24"/>
  <c r="AM132" i="24"/>
  <c r="AL132" i="24"/>
  <c r="AK132" i="24"/>
  <c r="AJ132" i="24"/>
  <c r="AO131" i="24"/>
  <c r="AN131" i="24"/>
  <c r="AM131" i="24"/>
  <c r="AL131" i="24"/>
  <c r="AK131" i="24"/>
  <c r="AJ131" i="24"/>
  <c r="AO122" i="24"/>
  <c r="AN122" i="24"/>
  <c r="AM122" i="24"/>
  <c r="AL122" i="24"/>
  <c r="AK122" i="24"/>
  <c r="AJ122" i="24"/>
  <c r="AO121" i="24"/>
  <c r="AN121" i="24"/>
  <c r="AM121" i="24"/>
  <c r="AL121" i="24"/>
  <c r="AK121" i="24"/>
  <c r="AJ121" i="24"/>
  <c r="AO117" i="24"/>
  <c r="AN117" i="24"/>
  <c r="AM117" i="24"/>
  <c r="AL117" i="24"/>
  <c r="AK117" i="24"/>
  <c r="AJ117" i="24"/>
  <c r="AO113" i="24"/>
  <c r="AN113" i="24"/>
  <c r="AM113" i="24"/>
  <c r="AL113" i="24"/>
  <c r="AK113" i="24"/>
  <c r="AJ113" i="24"/>
  <c r="AO110" i="24"/>
  <c r="AN110" i="24"/>
  <c r="AM110" i="24"/>
  <c r="AL110" i="24"/>
  <c r="AK110" i="24"/>
  <c r="AJ110" i="24"/>
  <c r="AO103" i="24"/>
  <c r="AN103" i="24"/>
  <c r="AM103" i="24"/>
  <c r="AL103" i="24"/>
  <c r="AK103" i="24"/>
  <c r="AJ103" i="24"/>
  <c r="AO102" i="24"/>
  <c r="AN102" i="24"/>
  <c r="AM102" i="24"/>
  <c r="AL102" i="24"/>
  <c r="AK102" i="24"/>
  <c r="AJ102" i="24"/>
  <c r="AO98" i="24"/>
  <c r="AN98" i="24"/>
  <c r="AM98" i="24"/>
  <c r="AL98" i="24"/>
  <c r="AK98" i="24"/>
  <c r="AJ98" i="24"/>
  <c r="AO94" i="24"/>
  <c r="AN94" i="24"/>
  <c r="AM94" i="24"/>
  <c r="AL94" i="24"/>
  <c r="AK94" i="24"/>
  <c r="AJ94" i="24"/>
  <c r="AO93" i="24"/>
  <c r="AN93" i="24"/>
  <c r="AM93" i="24"/>
  <c r="AL93" i="24"/>
  <c r="AK93" i="24"/>
  <c r="AJ93" i="24"/>
  <c r="AO91" i="24"/>
  <c r="AN91" i="24"/>
  <c r="AM91" i="24"/>
  <c r="AL91" i="24"/>
  <c r="AK91" i="24"/>
  <c r="AJ91" i="24"/>
  <c r="AO84" i="24"/>
  <c r="AN84" i="24"/>
  <c r="AM84" i="24"/>
  <c r="AL84" i="24"/>
  <c r="AK84" i="24"/>
  <c r="AJ84" i="24"/>
  <c r="AO83" i="24"/>
  <c r="AN83" i="24"/>
  <c r="AM83" i="24"/>
  <c r="AL83" i="24"/>
  <c r="AK83" i="24"/>
  <c r="AJ83" i="24"/>
  <c r="AO79" i="24"/>
  <c r="AN79" i="24"/>
  <c r="AM79" i="24"/>
  <c r="AL79" i="24"/>
  <c r="AK79" i="24"/>
  <c r="AJ79" i="24"/>
  <c r="AO75" i="24"/>
  <c r="AN75" i="24"/>
  <c r="AM75" i="24"/>
  <c r="AL75" i="24"/>
  <c r="AK75" i="24"/>
  <c r="AJ75" i="24"/>
  <c r="AO74" i="24"/>
  <c r="AN74" i="24"/>
  <c r="AM74" i="24"/>
  <c r="AL74" i="24"/>
  <c r="AK74" i="24"/>
  <c r="AJ74" i="24"/>
  <c r="AO64" i="24"/>
  <c r="AN64" i="24"/>
  <c r="AM64" i="24"/>
  <c r="AL64" i="24"/>
  <c r="AK64" i="24"/>
  <c r="AJ64" i="24"/>
  <c r="AO63" i="24"/>
  <c r="AN63" i="24"/>
  <c r="AM63" i="24"/>
  <c r="AL63" i="24"/>
  <c r="AK63" i="24"/>
  <c r="AJ63" i="24"/>
  <c r="AO55" i="24"/>
  <c r="AN55" i="24"/>
  <c r="AM55" i="24"/>
  <c r="AL55" i="24"/>
  <c r="AK55" i="24"/>
  <c r="AJ55" i="24"/>
  <c r="AO54" i="24"/>
  <c r="AN54" i="24"/>
  <c r="AM54" i="24"/>
  <c r="AL54" i="24"/>
  <c r="AK54" i="24"/>
  <c r="AJ54" i="24"/>
  <c r="AJ56" i="24" s="1"/>
  <c r="AO52" i="24"/>
  <c r="AN52" i="24"/>
  <c r="AM52" i="24"/>
  <c r="AL52" i="24"/>
  <c r="AK52" i="24"/>
  <c r="AJ52" i="24"/>
  <c r="A625" i="24"/>
  <c r="AM625" i="24" s="1"/>
  <c r="A605" i="24"/>
  <c r="A585" i="24"/>
  <c r="A565" i="24"/>
  <c r="AK565" i="24" s="1"/>
  <c r="A542" i="24"/>
  <c r="AK542" i="24" s="1"/>
  <c r="A523" i="24"/>
  <c r="A466" i="24"/>
  <c r="AO466" i="24" s="1"/>
  <c r="A447" i="24"/>
  <c r="AM447" i="24" s="1"/>
  <c r="A428" i="24"/>
  <c r="AK428" i="24" s="1"/>
  <c r="A408" i="24"/>
  <c r="AM408" i="24" s="1"/>
  <c r="A331" i="24"/>
  <c r="AM331" i="24" s="1"/>
  <c r="A217" i="24"/>
  <c r="AM217" i="24" s="1"/>
  <c r="A198" i="24"/>
  <c r="A180" i="24"/>
  <c r="AM180" i="24" s="1"/>
  <c r="A761" i="24"/>
  <c r="A742" i="24"/>
  <c r="A703" i="24"/>
  <c r="A539" i="24"/>
  <c r="A538" i="24"/>
  <c r="A423" i="24"/>
  <c r="AK423" i="24" s="1"/>
  <c r="A383" i="24"/>
  <c r="A345" i="24"/>
  <c r="A326" i="24"/>
  <c r="A288" i="24"/>
  <c r="A194" i="24"/>
  <c r="A193" i="24"/>
  <c r="A174" i="24"/>
  <c r="A155" i="24"/>
  <c r="A78" i="24"/>
  <c r="A677" i="24"/>
  <c r="AM677" i="24" s="1"/>
  <c r="A613" i="24"/>
  <c r="AK613" i="24" s="1"/>
  <c r="A593" i="24"/>
  <c r="A573" i="24"/>
  <c r="A553" i="24"/>
  <c r="AK553" i="24" s="1"/>
  <c r="A530" i="24"/>
  <c r="A511" i="24"/>
  <c r="A454" i="24"/>
  <c r="AM454" i="24" s="1"/>
  <c r="A415" i="24"/>
  <c r="AK415" i="24" s="1"/>
  <c r="A395" i="24"/>
  <c r="A338" i="24"/>
  <c r="AM338" i="24" s="1"/>
  <c r="A319" i="24"/>
  <c r="AM319" i="24" s="1"/>
  <c r="A281" i="24"/>
  <c r="A205" i="24"/>
  <c r="A186" i="24"/>
  <c r="A167" i="24"/>
  <c r="AM167" i="24" s="1"/>
  <c r="A147" i="24"/>
  <c r="AO147" i="24" s="1"/>
  <c r="A128" i="24"/>
  <c r="AO128" i="24" s="1"/>
  <c r="A109" i="24"/>
  <c r="A71" i="24"/>
  <c r="AO71" i="24" s="1"/>
  <c r="A58" i="24"/>
  <c r="A51" i="24"/>
  <c r="AO51" i="24" s="1"/>
  <c r="G209" i="24"/>
  <c r="L6" i="43"/>
  <c r="M6" i="43"/>
  <c r="K19" i="43"/>
  <c r="K15" i="43"/>
  <c r="K11" i="43"/>
  <c r="K7" i="43"/>
  <c r="AJ12" i="33"/>
  <c r="AK12" i="33"/>
  <c r="AL12" i="33"/>
  <c r="AM12" i="33"/>
  <c r="AN12" i="33"/>
  <c r="AO12" i="33"/>
  <c r="AJ13" i="33"/>
  <c r="AK13" i="33"/>
  <c r="AL13" i="33"/>
  <c r="AM13" i="33"/>
  <c r="AN13" i="33"/>
  <c r="AO13" i="33"/>
  <c r="AJ14" i="33"/>
  <c r="AK14" i="33"/>
  <c r="AL14" i="33"/>
  <c r="AM14" i="33"/>
  <c r="AN14" i="33"/>
  <c r="AO14" i="33"/>
  <c r="AJ15" i="33"/>
  <c r="AK15" i="33"/>
  <c r="AL15" i="33"/>
  <c r="AM15" i="33"/>
  <c r="AN15" i="33"/>
  <c r="AO15" i="33"/>
  <c r="AJ16" i="33"/>
  <c r="AK16" i="33"/>
  <c r="AL16" i="33"/>
  <c r="AM16" i="33"/>
  <c r="AN16" i="33"/>
  <c r="AO16" i="33"/>
  <c r="AK11" i="33"/>
  <c r="AL11" i="33"/>
  <c r="AM11" i="33"/>
  <c r="AN11" i="33"/>
  <c r="AO11" i="33"/>
  <c r="AJ11" i="33"/>
  <c r="A22" i="44" l="1"/>
  <c r="A25" i="44"/>
  <c r="A20" i="44"/>
  <c r="A24" i="44"/>
  <c r="AJ659" i="24"/>
  <c r="AN659" i="24"/>
  <c r="AK659" i="24"/>
  <c r="AO659" i="24"/>
  <c r="AL180" i="24"/>
  <c r="AL198" i="24"/>
  <c r="AL217" i="24"/>
  <c r="AL281" i="24"/>
  <c r="AN319" i="24"/>
  <c r="AN331" i="24"/>
  <c r="AN338" i="24"/>
  <c r="AN454" i="24"/>
  <c r="AL466" i="24"/>
  <c r="AL530" i="24"/>
  <c r="AJ538" i="24"/>
  <c r="AJ542" i="24"/>
  <c r="AL573" i="24"/>
  <c r="AL585" i="24"/>
  <c r="AL593" i="24"/>
  <c r="AL605" i="24"/>
  <c r="AL613" i="24"/>
  <c r="AJ625" i="24"/>
  <c r="AM198" i="24"/>
  <c r="AM281" i="24"/>
  <c r="AO319" i="24"/>
  <c r="AO331" i="24"/>
  <c r="AO338" i="24"/>
  <c r="AO454" i="24"/>
  <c r="AM466" i="24"/>
  <c r="AM530" i="24"/>
  <c r="AK538" i="24"/>
  <c r="AM573" i="24"/>
  <c r="AM585" i="24"/>
  <c r="AM593" i="24"/>
  <c r="AM605" i="24"/>
  <c r="AM613" i="24"/>
  <c r="AK625" i="24"/>
  <c r="AN51" i="24"/>
  <c r="AN71" i="24"/>
  <c r="AN128" i="24"/>
  <c r="AN147" i="24"/>
  <c r="AL167" i="24"/>
  <c r="AL319" i="24"/>
  <c r="AL331" i="24"/>
  <c r="AL338" i="24"/>
  <c r="AL408" i="24"/>
  <c r="AJ415" i="24"/>
  <c r="AJ423" i="24"/>
  <c r="AJ428" i="24"/>
  <c r="AL447" i="24"/>
  <c r="AL454" i="24"/>
  <c r="AN466" i="24"/>
  <c r="AJ511" i="24"/>
  <c r="AJ523" i="24"/>
  <c r="AJ530" i="24"/>
  <c r="AJ553" i="24"/>
  <c r="AJ565" i="24"/>
  <c r="AJ573" i="24"/>
  <c r="AJ585" i="24"/>
  <c r="AJ593" i="24"/>
  <c r="AJ605" i="24"/>
  <c r="AJ613" i="24"/>
  <c r="AL625" i="24"/>
  <c r="AL677" i="24"/>
  <c r="AK511" i="24"/>
  <c r="AK523" i="24"/>
  <c r="AK530" i="24"/>
  <c r="AK573" i="24"/>
  <c r="AK585" i="24"/>
  <c r="AK593" i="24"/>
  <c r="AK605" i="24"/>
  <c r="N146" i="44"/>
  <c r="G134" i="44"/>
  <c r="G140" i="44"/>
  <c r="G144" i="44"/>
  <c r="T40" i="31"/>
  <c r="S40" i="31"/>
  <c r="B34" i="42"/>
  <c r="C34" i="42"/>
  <c r="D34" i="42"/>
  <c r="D35" i="42"/>
  <c r="D27" i="42"/>
  <c r="D28" i="42"/>
  <c r="D29" i="42"/>
  <c r="D30" i="42"/>
  <c r="D31" i="42"/>
  <c r="D32" i="42"/>
  <c r="D26" i="42"/>
  <c r="D23" i="42"/>
  <c r="D24" i="42"/>
  <c r="D22" i="42"/>
  <c r="D20" i="42"/>
  <c r="D18" i="42"/>
  <c r="D16" i="42"/>
  <c r="C37" i="42"/>
  <c r="B37" i="42"/>
  <c r="C35" i="42"/>
  <c r="B35" i="42"/>
  <c r="C30" i="42"/>
  <c r="B30" i="42"/>
  <c r="C29" i="42"/>
  <c r="B29" i="42"/>
  <c r="C32" i="42"/>
  <c r="B32" i="42"/>
  <c r="C28" i="42"/>
  <c r="B28" i="42"/>
  <c r="C27" i="42"/>
  <c r="B27" i="42"/>
  <c r="C26" i="42"/>
  <c r="B26" i="42"/>
  <c r="C31" i="42"/>
  <c r="B31" i="42"/>
  <c r="C22" i="42"/>
  <c r="B22" i="42"/>
  <c r="C24" i="42"/>
  <c r="B24" i="42"/>
  <c r="C23" i="42"/>
  <c r="B23" i="42"/>
  <c r="C20" i="42"/>
  <c r="B20" i="42"/>
  <c r="C18" i="42"/>
  <c r="B18" i="42"/>
  <c r="C16" i="42"/>
  <c r="B16" i="42"/>
  <c r="C15" i="42"/>
  <c r="B15" i="42"/>
  <c r="C52" i="41"/>
  <c r="AK513" i="34" s="1"/>
  <c r="B52" i="41"/>
  <c r="AJ513" i="34" s="1"/>
  <c r="C51" i="41"/>
  <c r="AK512" i="34" s="1"/>
  <c r="B51" i="41"/>
  <c r="AJ512" i="34" s="1"/>
  <c r="C50" i="41"/>
  <c r="AK511" i="34" s="1"/>
  <c r="B50" i="41"/>
  <c r="AJ511" i="34" s="1"/>
  <c r="C47" i="41"/>
  <c r="AK508" i="34" s="1"/>
  <c r="B47" i="41"/>
  <c r="AJ508" i="34" s="1"/>
  <c r="AK507" i="34"/>
  <c r="B46" i="41"/>
  <c r="AJ507" i="34" s="1"/>
  <c r="AK506" i="34"/>
  <c r="B45" i="41"/>
  <c r="AJ506" i="34" s="1"/>
  <c r="C44" i="41"/>
  <c r="AK505" i="34" s="1"/>
  <c r="B44" i="41"/>
  <c r="C42" i="41"/>
  <c r="AK503" i="34" s="1"/>
  <c r="B42" i="41"/>
  <c r="AJ503" i="34" s="1"/>
  <c r="C41" i="41"/>
  <c r="AK502" i="34" s="1"/>
  <c r="B41" i="41"/>
  <c r="AJ502" i="34" s="1"/>
  <c r="C40" i="41"/>
  <c r="AK501" i="34" s="1"/>
  <c r="B40" i="41"/>
  <c r="AJ501" i="34" s="1"/>
  <c r="C39" i="41"/>
  <c r="AK500" i="34" s="1"/>
  <c r="B39" i="41"/>
  <c r="AJ500" i="34" s="1"/>
  <c r="C38" i="41"/>
  <c r="AK499" i="34" s="1"/>
  <c r="B38" i="41"/>
  <c r="C36" i="41"/>
  <c r="AK497" i="34" s="1"/>
  <c r="B36" i="41"/>
  <c r="AJ497" i="34" s="1"/>
  <c r="C34" i="41"/>
  <c r="AK495" i="34" s="1"/>
  <c r="B34" i="41"/>
  <c r="AJ495" i="34" s="1"/>
  <c r="C33" i="41"/>
  <c r="AK494" i="34" s="1"/>
  <c r="B33" i="41"/>
  <c r="AJ494" i="34" s="1"/>
  <c r="C32" i="41"/>
  <c r="AK493" i="34" s="1"/>
  <c r="B32" i="41"/>
  <c r="AJ493" i="34" s="1"/>
  <c r="C31" i="41"/>
  <c r="AK492" i="34" s="1"/>
  <c r="B31" i="41"/>
  <c r="AJ492" i="34" s="1"/>
  <c r="C30" i="41"/>
  <c r="AK491" i="34" s="1"/>
  <c r="B30" i="41"/>
  <c r="AJ491" i="34" s="1"/>
  <c r="C29" i="41"/>
  <c r="AK490" i="34" s="1"/>
  <c r="B29" i="41"/>
  <c r="AJ490" i="34" s="1"/>
  <c r="C28" i="41"/>
  <c r="AK489" i="34" s="1"/>
  <c r="B28" i="41"/>
  <c r="AK487" i="34"/>
  <c r="B26" i="41"/>
  <c r="AJ487" i="34" s="1"/>
  <c r="C25" i="41"/>
  <c r="AK486" i="34" s="1"/>
  <c r="B25" i="41"/>
  <c r="AJ486" i="34" s="1"/>
  <c r="C24" i="41"/>
  <c r="AK485" i="34" s="1"/>
  <c r="B24" i="41"/>
  <c r="AJ485" i="34" s="1"/>
  <c r="C23" i="41"/>
  <c r="AK484" i="34" s="1"/>
  <c r="B23" i="41"/>
  <c r="C21" i="41"/>
  <c r="AK482" i="34" s="1"/>
  <c r="B21" i="41"/>
  <c r="AJ482" i="34" s="1"/>
  <c r="C20" i="41"/>
  <c r="AK481" i="34" s="1"/>
  <c r="B20" i="41"/>
  <c r="AJ481" i="34" s="1"/>
  <c r="C19" i="41"/>
  <c r="AK480" i="34" s="1"/>
  <c r="B19" i="41"/>
  <c r="AJ480" i="34" s="1"/>
  <c r="C18" i="41"/>
  <c r="AK479" i="34" s="1"/>
  <c r="B18" i="41"/>
  <c r="AJ479" i="34" s="1"/>
  <c r="C17" i="41"/>
  <c r="AK478" i="34" s="1"/>
  <c r="B17" i="41"/>
  <c r="AJ478" i="34" s="1"/>
  <c r="C16" i="41"/>
  <c r="AK477" i="34" s="1"/>
  <c r="B16" i="41"/>
  <c r="C14" i="41"/>
  <c r="AK475" i="34" s="1"/>
  <c r="B14" i="41"/>
  <c r="AJ475" i="34" s="1"/>
  <c r="C13" i="41"/>
  <c r="AK474" i="34" s="1"/>
  <c r="B13" i="41"/>
  <c r="AJ474" i="34" s="1"/>
  <c r="C12" i="41"/>
  <c r="AK473" i="34" s="1"/>
  <c r="B12" i="41"/>
  <c r="AJ473" i="34" s="1"/>
  <c r="AK472" i="34"/>
  <c r="B11" i="41"/>
  <c r="AJ472" i="34" s="1"/>
  <c r="C10" i="41"/>
  <c r="AK471" i="34" s="1"/>
  <c r="B10" i="41"/>
  <c r="AJ471" i="34" s="1"/>
  <c r="B9" i="41"/>
  <c r="C49" i="41"/>
  <c r="AK510" i="34" s="1"/>
  <c r="B49" i="41"/>
  <c r="AC424" i="34"/>
  <c r="N6" i="43" s="1"/>
  <c r="AI18" i="24"/>
  <c r="AJ505" i="34" l="1"/>
  <c r="R24" i="41"/>
  <c r="N490" i="34" s="1"/>
  <c r="C505" i="34"/>
  <c r="AJ477" i="34"/>
  <c r="R20" i="41"/>
  <c r="N486" i="34" s="1"/>
  <c r="C489" i="34"/>
  <c r="AJ484" i="34"/>
  <c r="R21" i="41"/>
  <c r="N487" i="34" s="1"/>
  <c r="C493" i="34"/>
  <c r="AJ489" i="34"/>
  <c r="R22" i="41"/>
  <c r="N488" i="34" s="1"/>
  <c r="C497" i="34"/>
  <c r="AJ499" i="34"/>
  <c r="R23" i="41"/>
  <c r="N489" i="34" s="1"/>
  <c r="C501" i="34"/>
  <c r="AJ510" i="34"/>
  <c r="R25" i="41"/>
  <c r="N491" i="34" s="1"/>
  <c r="C509" i="34"/>
  <c r="AJ470" i="34"/>
  <c r="R19" i="41"/>
  <c r="N485" i="34" s="1"/>
  <c r="C485" i="34"/>
  <c r="P28" i="17"/>
  <c r="S25" i="17"/>
  <c r="R25" i="17"/>
  <c r="Q25" i="17"/>
  <c r="P25" i="17"/>
  <c r="S28" i="17"/>
  <c r="R28" i="17"/>
  <c r="Q28" i="17"/>
  <c r="S15" i="17"/>
  <c r="R15" i="17"/>
  <c r="Q15" i="17"/>
  <c r="P15" i="17"/>
  <c r="E27" i="17"/>
  <c r="E26" i="17"/>
  <c r="E24" i="17"/>
  <c r="E21" i="17"/>
  <c r="E20" i="17"/>
  <c r="E23" i="17"/>
  <c r="E19" i="17"/>
  <c r="E18" i="17"/>
  <c r="E17" i="17"/>
  <c r="E16" i="17"/>
  <c r="E14" i="17"/>
  <c r="E13" i="17"/>
  <c r="C24" i="17"/>
  <c r="C21" i="17"/>
  <c r="C20" i="17"/>
  <c r="C23" i="17"/>
  <c r="C19" i="17"/>
  <c r="C18" i="17"/>
  <c r="C22" i="17"/>
  <c r="C27" i="17"/>
  <c r="C26" i="17"/>
  <c r="C17" i="17"/>
  <c r="C16" i="17"/>
  <c r="C14" i="17"/>
  <c r="C13" i="17"/>
  <c r="AE13" i="20" l="1"/>
  <c r="AF13" i="20"/>
  <c r="AG13" i="20"/>
  <c r="AH13" i="20"/>
  <c r="AI13" i="20"/>
  <c r="AJ13" i="20"/>
  <c r="AE14" i="20"/>
  <c r="AF14" i="20"/>
  <c r="AG14" i="20"/>
  <c r="AH14" i="20"/>
  <c r="AI14" i="20"/>
  <c r="AJ14" i="20"/>
  <c r="AE17" i="20"/>
  <c r="AF17" i="20"/>
  <c r="AG17" i="20"/>
  <c r="AH17" i="20"/>
  <c r="AI17" i="20"/>
  <c r="AJ17" i="20"/>
  <c r="AE18" i="20"/>
  <c r="AF18" i="20"/>
  <c r="AG18" i="20"/>
  <c r="AH18" i="20"/>
  <c r="AI18" i="20"/>
  <c r="AJ18" i="20"/>
  <c r="AE19" i="20"/>
  <c r="AF19" i="20"/>
  <c r="AG19" i="20"/>
  <c r="AH19" i="20"/>
  <c r="AI19" i="20"/>
  <c r="AJ19" i="20"/>
  <c r="AF12" i="20"/>
  <c r="AG12" i="20"/>
  <c r="AH12" i="20"/>
  <c r="AI12" i="20"/>
  <c r="AJ12" i="20"/>
  <c r="AE12" i="20"/>
  <c r="AE31" i="20"/>
  <c r="AE32" i="20"/>
  <c r="AE33" i="20"/>
  <c r="AE34" i="20"/>
  <c r="AE35" i="20"/>
  <c r="AE36" i="20"/>
  <c r="AE37" i="20"/>
  <c r="AE38" i="20"/>
  <c r="AE39" i="20"/>
  <c r="AE30" i="20"/>
  <c r="AF31" i="20"/>
  <c r="AG31" i="20"/>
  <c r="AH31" i="20"/>
  <c r="AI31" i="20"/>
  <c r="AJ31" i="20"/>
  <c r="AK31" i="20"/>
  <c r="AL31" i="20"/>
  <c r="AM31" i="20"/>
  <c r="AN31" i="20"/>
  <c r="AF32" i="20"/>
  <c r="AG32" i="20"/>
  <c r="AH32" i="20"/>
  <c r="AI32" i="20"/>
  <c r="AJ32" i="20"/>
  <c r="AK32" i="20"/>
  <c r="AL32" i="20"/>
  <c r="AM32" i="20"/>
  <c r="AN32" i="20"/>
  <c r="AF33" i="20"/>
  <c r="AG33" i="20"/>
  <c r="AH33" i="20"/>
  <c r="AI33" i="20"/>
  <c r="AJ33" i="20"/>
  <c r="AK33" i="20"/>
  <c r="AL33" i="20"/>
  <c r="AM33" i="20"/>
  <c r="AN33" i="20"/>
  <c r="AF34" i="20"/>
  <c r="AG34" i="20"/>
  <c r="AH34" i="20"/>
  <c r="AI34" i="20"/>
  <c r="AJ34" i="20"/>
  <c r="AK34" i="20"/>
  <c r="AL34" i="20"/>
  <c r="AM34" i="20"/>
  <c r="AN34" i="20"/>
  <c r="AF35" i="20"/>
  <c r="AG35" i="20"/>
  <c r="AH35" i="20"/>
  <c r="AI35" i="20"/>
  <c r="AJ35" i="20"/>
  <c r="AK35" i="20"/>
  <c r="AL35" i="20"/>
  <c r="AM35" i="20"/>
  <c r="AN35" i="20"/>
  <c r="AF36" i="20"/>
  <c r="AG36" i="20"/>
  <c r="AH36" i="20"/>
  <c r="AI36" i="20"/>
  <c r="AJ36" i="20"/>
  <c r="AK36" i="20"/>
  <c r="AL36" i="20"/>
  <c r="AM36" i="20"/>
  <c r="AN36" i="20"/>
  <c r="AF37" i="20"/>
  <c r="AG37" i="20"/>
  <c r="AH37" i="20"/>
  <c r="AI37" i="20"/>
  <c r="AJ37" i="20"/>
  <c r="AK37" i="20"/>
  <c r="AL37" i="20"/>
  <c r="AM37" i="20"/>
  <c r="AN37" i="20"/>
  <c r="AF38" i="20"/>
  <c r="AG38" i="20"/>
  <c r="AH38" i="20"/>
  <c r="AI38" i="20"/>
  <c r="AJ38" i="20"/>
  <c r="AK38" i="20"/>
  <c r="AL38" i="20"/>
  <c r="AM38" i="20"/>
  <c r="AN38" i="20"/>
  <c r="AF39" i="20"/>
  <c r="AG39" i="20"/>
  <c r="AH39" i="20"/>
  <c r="AI39" i="20"/>
  <c r="AJ39" i="20"/>
  <c r="AK39" i="20"/>
  <c r="AL39" i="20"/>
  <c r="AM39" i="20"/>
  <c r="AN39" i="20"/>
  <c r="AG30" i="20"/>
  <c r="AH30" i="20"/>
  <c r="AI30" i="20"/>
  <c r="AJ30" i="20"/>
  <c r="AK30" i="20"/>
  <c r="AL30" i="20"/>
  <c r="AM30" i="20"/>
  <c r="AN30" i="20"/>
  <c r="AF30" i="20"/>
  <c r="C23" i="20"/>
  <c r="D23" i="20"/>
  <c r="F23" i="20"/>
  <c r="G23" i="20"/>
  <c r="M38" i="39"/>
  <c r="L37" i="39"/>
  <c r="K37" i="39"/>
  <c r="J37" i="39"/>
  <c r="I37" i="39"/>
  <c r="F24" i="31"/>
  <c r="F23" i="31"/>
  <c r="F22" i="31"/>
  <c r="F20" i="31"/>
  <c r="F19" i="31"/>
  <c r="F18" i="31"/>
  <c r="F16" i="31"/>
  <c r="F15" i="31"/>
  <c r="F33" i="31"/>
  <c r="F29" i="31"/>
  <c r="F28" i="31"/>
  <c r="AE39" i="31"/>
  <c r="AD39" i="31"/>
  <c r="AC39" i="31"/>
  <c r="AH16" i="31" s="1"/>
  <c r="AB39" i="31"/>
  <c r="AA39" i="31"/>
  <c r="AH15" i="31" s="1"/>
  <c r="Z39" i="31"/>
  <c r="Y39" i="31"/>
  <c r="AH14" i="31" s="1"/>
  <c r="X39" i="31"/>
  <c r="N35" i="31"/>
  <c r="N36" i="31"/>
  <c r="C444" i="34"/>
  <c r="C443" i="34"/>
  <c r="C442" i="34"/>
  <c r="C441" i="34"/>
  <c r="AB32" i="39"/>
  <c r="AK11" i="39" s="1"/>
  <c r="AI32" i="39"/>
  <c r="AL14" i="39" s="1"/>
  <c r="AH32" i="39"/>
  <c r="AG32" i="39"/>
  <c r="AF32" i="39"/>
  <c r="AE32" i="39"/>
  <c r="AD32" i="39"/>
  <c r="AC32" i="39"/>
  <c r="B14" i="39"/>
  <c r="B33" i="39"/>
  <c r="B34" i="39"/>
  <c r="F30" i="39"/>
  <c r="B30" i="39"/>
  <c r="C18" i="39"/>
  <c r="B18" i="39"/>
  <c r="F17" i="39"/>
  <c r="C17" i="39"/>
  <c r="B17" i="39"/>
  <c r="F29" i="39"/>
  <c r="B29" i="39"/>
  <c r="F28" i="39"/>
  <c r="B28" i="39"/>
  <c r="C16" i="39"/>
  <c r="B16" i="39"/>
  <c r="F31" i="39"/>
  <c r="B31" i="39"/>
  <c r="F24" i="39"/>
  <c r="C24" i="39"/>
  <c r="B24" i="39"/>
  <c r="F23" i="39"/>
  <c r="C23" i="39"/>
  <c r="B23" i="39"/>
  <c r="C22" i="39"/>
  <c r="B22" i="39"/>
  <c r="C25" i="39"/>
  <c r="B25" i="39"/>
  <c r="B19" i="39"/>
  <c r="F15" i="39"/>
  <c r="B15" i="39"/>
  <c r="F14" i="39"/>
  <c r="B13" i="39"/>
  <c r="F21" i="39"/>
  <c r="C21" i="39"/>
  <c r="B21" i="39"/>
  <c r="AL11" i="39" l="1"/>
  <c r="AL13" i="39"/>
  <c r="U9" i="39" s="1"/>
  <c r="AL12" i="39"/>
  <c r="T9" i="39" s="1"/>
  <c r="AO18" i="24"/>
  <c r="AN18" i="24"/>
  <c r="H566" i="24"/>
  <c r="K566" i="24"/>
  <c r="AG566" i="24" s="1"/>
  <c r="B566" i="24"/>
  <c r="AI17" i="24"/>
  <c r="D752" i="24"/>
  <c r="D733" i="24"/>
  <c r="U767" i="24"/>
  <c r="AI767" i="24" s="1"/>
  <c r="R767" i="24"/>
  <c r="AH767" i="24" s="1"/>
  <c r="K767" i="24"/>
  <c r="AG767" i="24" s="1"/>
  <c r="H767" i="24"/>
  <c r="U766" i="24"/>
  <c r="R766" i="24"/>
  <c r="AH766" i="24" s="1"/>
  <c r="K766" i="24"/>
  <c r="H766" i="24"/>
  <c r="U758" i="24"/>
  <c r="AI758" i="24" s="1"/>
  <c r="R758" i="24"/>
  <c r="AH758" i="24" s="1"/>
  <c r="K758" i="24"/>
  <c r="AG758" i="24" s="1"/>
  <c r="H758" i="24"/>
  <c r="U757" i="24"/>
  <c r="AI757" i="24" s="1"/>
  <c r="R757" i="24"/>
  <c r="K757" i="24"/>
  <c r="H757" i="24"/>
  <c r="G755" i="24"/>
  <c r="F755" i="24"/>
  <c r="R755" i="24" s="1"/>
  <c r="AH755" i="24" s="1"/>
  <c r="D755" i="24"/>
  <c r="C755" i="24"/>
  <c r="G754" i="24"/>
  <c r="F754" i="24"/>
  <c r="R754" i="24" s="1"/>
  <c r="D754" i="24"/>
  <c r="C754" i="24"/>
  <c r="U748" i="24"/>
  <c r="AI748" i="24" s="1"/>
  <c r="R748" i="24"/>
  <c r="AH748" i="24" s="1"/>
  <c r="K748" i="24"/>
  <c r="AG748" i="24" s="1"/>
  <c r="H748" i="24"/>
  <c r="U747" i="24"/>
  <c r="R747" i="24"/>
  <c r="AH747" i="24" s="1"/>
  <c r="K747" i="24"/>
  <c r="H747" i="24"/>
  <c r="R743" i="24"/>
  <c r="AH743" i="24" s="1"/>
  <c r="K743" i="24"/>
  <c r="AG743" i="24" s="1"/>
  <c r="H743" i="24"/>
  <c r="U739" i="24"/>
  <c r="AI739" i="24" s="1"/>
  <c r="R739" i="24"/>
  <c r="AH739" i="24" s="1"/>
  <c r="K739" i="24"/>
  <c r="AG739" i="24" s="1"/>
  <c r="H739" i="24"/>
  <c r="U738" i="24"/>
  <c r="AI738" i="24" s="1"/>
  <c r="R738" i="24"/>
  <c r="K738" i="24"/>
  <c r="H738" i="24"/>
  <c r="G736" i="24"/>
  <c r="F736" i="24"/>
  <c r="R736" i="24" s="1"/>
  <c r="AH736" i="24" s="1"/>
  <c r="D736" i="24"/>
  <c r="C736" i="24"/>
  <c r="B736" i="24"/>
  <c r="G735" i="24"/>
  <c r="F735" i="24"/>
  <c r="D735" i="24"/>
  <c r="C735" i="24"/>
  <c r="B735" i="24"/>
  <c r="D713" i="24"/>
  <c r="D694" i="24"/>
  <c r="U709" i="24"/>
  <c r="AI709" i="24" s="1"/>
  <c r="R709" i="24"/>
  <c r="AH709" i="24" s="1"/>
  <c r="K709" i="24"/>
  <c r="AG709" i="24" s="1"/>
  <c r="H709" i="24"/>
  <c r="U708" i="24"/>
  <c r="AI708" i="24" s="1"/>
  <c r="R708" i="24"/>
  <c r="AH708" i="24" s="1"/>
  <c r="K708" i="24"/>
  <c r="H708" i="24"/>
  <c r="R704" i="24"/>
  <c r="AH704" i="24" s="1"/>
  <c r="K704" i="24"/>
  <c r="AG704" i="24" s="1"/>
  <c r="H704" i="24"/>
  <c r="G703" i="24"/>
  <c r="U700" i="24"/>
  <c r="AI700" i="24" s="1"/>
  <c r="R700" i="24"/>
  <c r="AH700" i="24" s="1"/>
  <c r="K700" i="24"/>
  <c r="AG700" i="24" s="1"/>
  <c r="H700" i="24"/>
  <c r="U699" i="24"/>
  <c r="AI699" i="24" s="1"/>
  <c r="R699" i="24"/>
  <c r="K699" i="24"/>
  <c r="H699" i="24"/>
  <c r="G697" i="24"/>
  <c r="F697" i="24"/>
  <c r="R697" i="24" s="1"/>
  <c r="AH697" i="24" s="1"/>
  <c r="D697" i="24"/>
  <c r="C697" i="24"/>
  <c r="B697" i="24"/>
  <c r="G696" i="24"/>
  <c r="F696" i="24"/>
  <c r="K696" i="24" s="1"/>
  <c r="AG696" i="24" s="1"/>
  <c r="D696" i="24"/>
  <c r="C696" i="24"/>
  <c r="B696" i="24"/>
  <c r="G729" i="24"/>
  <c r="F729" i="24"/>
  <c r="D729" i="24"/>
  <c r="C729" i="24"/>
  <c r="B729" i="24"/>
  <c r="G728" i="24"/>
  <c r="F728" i="24"/>
  <c r="R728" i="24" s="1"/>
  <c r="D728" i="24"/>
  <c r="C728" i="24"/>
  <c r="B728" i="24"/>
  <c r="G719" i="24"/>
  <c r="F719" i="24"/>
  <c r="U719" i="24" s="1"/>
  <c r="AI719" i="24" s="1"/>
  <c r="D719" i="24"/>
  <c r="C719" i="24"/>
  <c r="B719" i="24"/>
  <c r="G718" i="24"/>
  <c r="F718" i="24"/>
  <c r="K718" i="24" s="1"/>
  <c r="D718" i="24"/>
  <c r="C718" i="24"/>
  <c r="B718" i="24"/>
  <c r="G716" i="24"/>
  <c r="F716" i="24"/>
  <c r="R716" i="24" s="1"/>
  <c r="AH716" i="24" s="1"/>
  <c r="D716" i="24"/>
  <c r="C716" i="24"/>
  <c r="B716" i="24"/>
  <c r="G715" i="24"/>
  <c r="F715" i="24"/>
  <c r="K715" i="24" s="1"/>
  <c r="AG715" i="24" s="1"/>
  <c r="D715" i="24"/>
  <c r="C715" i="24"/>
  <c r="B715" i="24"/>
  <c r="D675" i="24"/>
  <c r="AS41" i="24" s="1"/>
  <c r="U690" i="24"/>
  <c r="AI690" i="24" s="1"/>
  <c r="R690" i="24"/>
  <c r="AH690" i="24" s="1"/>
  <c r="K690" i="24"/>
  <c r="AG690" i="24" s="1"/>
  <c r="H690" i="24"/>
  <c r="G689" i="24"/>
  <c r="F689" i="24"/>
  <c r="K689" i="24" s="1"/>
  <c r="D689" i="24"/>
  <c r="C689" i="24"/>
  <c r="AM686" i="24"/>
  <c r="AL686" i="24"/>
  <c r="AK686" i="24"/>
  <c r="AJ686" i="24"/>
  <c r="AH686" i="24"/>
  <c r="AG686" i="24"/>
  <c r="R686" i="24"/>
  <c r="Y686" i="24" s="1"/>
  <c r="K686" i="24"/>
  <c r="W686" i="24" s="1"/>
  <c r="AH685" i="24"/>
  <c r="AG685" i="24"/>
  <c r="H685" i="24"/>
  <c r="AH684" i="24"/>
  <c r="AG684" i="24"/>
  <c r="H684" i="24"/>
  <c r="U681" i="24"/>
  <c r="AI681" i="24" s="1"/>
  <c r="R681" i="24"/>
  <c r="AH681" i="24" s="1"/>
  <c r="K681" i="24"/>
  <c r="AG681" i="24" s="1"/>
  <c r="H681" i="24"/>
  <c r="U680" i="24"/>
  <c r="AI680" i="24" s="1"/>
  <c r="R680" i="24"/>
  <c r="K680" i="24"/>
  <c r="AG680" i="24" s="1"/>
  <c r="H680" i="24"/>
  <c r="U678" i="24"/>
  <c r="AI678" i="24" s="1"/>
  <c r="R678" i="24"/>
  <c r="AH678" i="24" s="1"/>
  <c r="K678" i="24"/>
  <c r="AG678" i="24" s="1"/>
  <c r="H678" i="24"/>
  <c r="D652" i="24"/>
  <c r="AS40" i="24" s="1"/>
  <c r="D631" i="24"/>
  <c r="U646" i="24"/>
  <c r="AI646" i="24" s="1"/>
  <c r="R646" i="24"/>
  <c r="AH646" i="24" s="1"/>
  <c r="K646" i="24"/>
  <c r="AG646" i="24" s="1"/>
  <c r="H646" i="24"/>
  <c r="AM642" i="24"/>
  <c r="AL642" i="24"/>
  <c r="AK642" i="24"/>
  <c r="AJ642" i="24"/>
  <c r="AH642" i="24"/>
  <c r="AG642" i="24"/>
  <c r="R642" i="24"/>
  <c r="Y642" i="24" s="1"/>
  <c r="K642" i="24"/>
  <c r="W642" i="24" s="1"/>
  <c r="AH641" i="24"/>
  <c r="AG641" i="24"/>
  <c r="H641" i="24"/>
  <c r="AH640" i="24"/>
  <c r="AG640" i="24"/>
  <c r="H640" i="24"/>
  <c r="U637" i="24"/>
  <c r="AI637" i="24" s="1"/>
  <c r="R637" i="24"/>
  <c r="AH637" i="24" s="1"/>
  <c r="K637" i="24"/>
  <c r="AG637" i="24" s="1"/>
  <c r="H637" i="24"/>
  <c r="U636" i="24"/>
  <c r="AI636" i="24" s="1"/>
  <c r="R636" i="24"/>
  <c r="K636" i="24"/>
  <c r="AG636" i="24" s="1"/>
  <c r="H636" i="24"/>
  <c r="U634" i="24"/>
  <c r="AI634" i="24" s="1"/>
  <c r="R634" i="24"/>
  <c r="AH634" i="24" s="1"/>
  <c r="K634" i="24"/>
  <c r="AG634" i="24" s="1"/>
  <c r="H634" i="24"/>
  <c r="G91" i="19"/>
  <c r="D91" i="19"/>
  <c r="D613" i="24" s="1"/>
  <c r="C91" i="19"/>
  <c r="C613" i="24" s="1"/>
  <c r="B91" i="19"/>
  <c r="D611" i="24" s="1"/>
  <c r="AS39" i="24" s="1"/>
  <c r="B89" i="19"/>
  <c r="D591" i="24" s="1"/>
  <c r="AS38" i="24" s="1"/>
  <c r="B87" i="19"/>
  <c r="D571" i="24" s="1"/>
  <c r="B85" i="19"/>
  <c r="D551" i="24" s="1"/>
  <c r="AS36" i="24" s="1"/>
  <c r="D528" i="24"/>
  <c r="D509" i="24"/>
  <c r="D490" i="24"/>
  <c r="D471" i="24"/>
  <c r="D452" i="24"/>
  <c r="D433" i="24"/>
  <c r="D413" i="24"/>
  <c r="D374" i="24"/>
  <c r="D355" i="24"/>
  <c r="D336" i="24"/>
  <c r="D317" i="24"/>
  <c r="D298" i="24"/>
  <c r="D279" i="24"/>
  <c r="D260" i="24"/>
  <c r="D241" i="24"/>
  <c r="D222" i="24"/>
  <c r="D203" i="24"/>
  <c r="D184" i="24"/>
  <c r="D165" i="24"/>
  <c r="D145" i="24"/>
  <c r="D126" i="24"/>
  <c r="D107" i="24"/>
  <c r="D88" i="24"/>
  <c r="D69" i="24"/>
  <c r="D49" i="24"/>
  <c r="X89" i="19"/>
  <c r="G605" i="24" s="1"/>
  <c r="X87" i="19"/>
  <c r="G585" i="24" s="1"/>
  <c r="X82" i="19"/>
  <c r="G543" i="24" s="1"/>
  <c r="X78" i="19"/>
  <c r="G523" i="24" s="1"/>
  <c r="X91" i="19"/>
  <c r="G625" i="24" s="1"/>
  <c r="X28" i="19"/>
  <c r="G198" i="24" s="1"/>
  <c r="R109" i="19"/>
  <c r="G762" i="24" s="1"/>
  <c r="R108" i="19"/>
  <c r="G761" i="24" s="1"/>
  <c r="R106" i="19"/>
  <c r="G742" i="24" s="1"/>
  <c r="R104" i="19"/>
  <c r="G724" i="24" s="1"/>
  <c r="R103" i="19"/>
  <c r="G723" i="24" s="1"/>
  <c r="R102" i="19"/>
  <c r="G722" i="24" s="1"/>
  <c r="R100" i="19"/>
  <c r="R83" i="19"/>
  <c r="G539" i="24" s="1"/>
  <c r="R82" i="19"/>
  <c r="G538" i="24" s="1"/>
  <c r="R81" i="19"/>
  <c r="G537" i="24" s="1"/>
  <c r="R78" i="19"/>
  <c r="G519" i="24" s="1"/>
  <c r="R73" i="19"/>
  <c r="G480" i="24" s="1"/>
  <c r="R70" i="19"/>
  <c r="G461" i="24" s="1"/>
  <c r="R67" i="19"/>
  <c r="G442" i="24" s="1"/>
  <c r="R61" i="19"/>
  <c r="G404" i="24" s="1"/>
  <c r="R60" i="19"/>
  <c r="G403" i="24" s="1"/>
  <c r="R59" i="19"/>
  <c r="G402" i="24" s="1"/>
  <c r="R56" i="19"/>
  <c r="G383" i="24" s="1"/>
  <c r="R54" i="19"/>
  <c r="G364" i="24" s="1"/>
  <c r="R51" i="19"/>
  <c r="G345" i="24" s="1"/>
  <c r="R49" i="19"/>
  <c r="G326" i="24" s="1"/>
  <c r="R46" i="19"/>
  <c r="G307" i="24" s="1"/>
  <c r="R43" i="19"/>
  <c r="G288" i="24" s="1"/>
  <c r="R41" i="19"/>
  <c r="G270" i="24" s="1"/>
  <c r="R40" i="19"/>
  <c r="G269" i="24" s="1"/>
  <c r="R38" i="19"/>
  <c r="G251" i="24" s="1"/>
  <c r="R37" i="19"/>
  <c r="G250" i="24" s="1"/>
  <c r="R34" i="19"/>
  <c r="G231" i="24" s="1"/>
  <c r="R29" i="19"/>
  <c r="G194" i="24" s="1"/>
  <c r="R26" i="19"/>
  <c r="G175" i="24" s="1"/>
  <c r="R25" i="19"/>
  <c r="G174" i="24" s="1"/>
  <c r="R21" i="19"/>
  <c r="G155" i="24" s="1"/>
  <c r="R18" i="19"/>
  <c r="G135" i="24" s="1"/>
  <c r="R16" i="19"/>
  <c r="G116" i="24" s="1"/>
  <c r="R14" i="19"/>
  <c r="G97" i="24" s="1"/>
  <c r="R9" i="19"/>
  <c r="G59" i="24" s="1"/>
  <c r="L82" i="19"/>
  <c r="G534" i="24" s="1"/>
  <c r="L65" i="19"/>
  <c r="G420" i="24" s="1"/>
  <c r="L64" i="19"/>
  <c r="G419" i="24" s="1"/>
  <c r="L63" i="19"/>
  <c r="G418" i="24" s="1"/>
  <c r="L52" i="19"/>
  <c r="G341" i="24" s="1"/>
  <c r="M52" i="19"/>
  <c r="L49" i="19"/>
  <c r="G322" i="24" s="1"/>
  <c r="L46" i="19"/>
  <c r="G303" i="24" s="1"/>
  <c r="L43" i="19"/>
  <c r="G284" i="24" s="1"/>
  <c r="L40" i="19"/>
  <c r="G265" i="24" s="1"/>
  <c r="L34" i="19"/>
  <c r="G227" i="24" s="1"/>
  <c r="L32" i="19"/>
  <c r="L31" i="19"/>
  <c r="G208" i="24" s="1"/>
  <c r="L28" i="19"/>
  <c r="G189" i="24" s="1"/>
  <c r="L16" i="19"/>
  <c r="G112" i="24" s="1"/>
  <c r="F98" i="19"/>
  <c r="G677" i="24" s="1"/>
  <c r="X95" i="19"/>
  <c r="G666" i="24" s="1"/>
  <c r="F95" i="19"/>
  <c r="G654" i="24" s="1"/>
  <c r="F93" i="19"/>
  <c r="G633" i="24" s="1"/>
  <c r="F89" i="19"/>
  <c r="G593" i="24" s="1"/>
  <c r="F87" i="19"/>
  <c r="G573" i="24" s="1"/>
  <c r="Y95" i="19"/>
  <c r="Y93" i="19"/>
  <c r="Y85" i="19"/>
  <c r="Y89" i="19"/>
  <c r="Y87" i="19"/>
  <c r="V95" i="19"/>
  <c r="D666" i="24" s="1"/>
  <c r="U95" i="19"/>
  <c r="C666" i="24" s="1"/>
  <c r="V93" i="19"/>
  <c r="D645" i="24" s="1"/>
  <c r="U93" i="19"/>
  <c r="C645" i="24" s="1"/>
  <c r="V85" i="19"/>
  <c r="D565" i="24" s="1"/>
  <c r="U85" i="19"/>
  <c r="C565" i="24" s="1"/>
  <c r="V89" i="19"/>
  <c r="D605" i="24" s="1"/>
  <c r="U89" i="19"/>
  <c r="C605" i="24" s="1"/>
  <c r="V87" i="19"/>
  <c r="D585" i="24" s="1"/>
  <c r="U87" i="19"/>
  <c r="C585" i="24" s="1"/>
  <c r="G98" i="19"/>
  <c r="D98" i="19"/>
  <c r="D677" i="24" s="1"/>
  <c r="C98" i="19"/>
  <c r="C677" i="24" s="1"/>
  <c r="G95" i="19"/>
  <c r="G93" i="19"/>
  <c r="G85" i="19"/>
  <c r="G89" i="19"/>
  <c r="G87" i="19"/>
  <c r="D95" i="19"/>
  <c r="D654" i="24" s="1"/>
  <c r="C95" i="19"/>
  <c r="C654" i="24" s="1"/>
  <c r="D93" i="19"/>
  <c r="D633" i="24" s="1"/>
  <c r="C93" i="19"/>
  <c r="C633" i="24" s="1"/>
  <c r="D85" i="19"/>
  <c r="D553" i="24" s="1"/>
  <c r="C85" i="19"/>
  <c r="C553" i="24" s="1"/>
  <c r="D89" i="19"/>
  <c r="D593" i="24" s="1"/>
  <c r="C89" i="19"/>
  <c r="C593" i="24" s="1"/>
  <c r="D87" i="19"/>
  <c r="D573" i="24" s="1"/>
  <c r="C87" i="19"/>
  <c r="C573" i="24" s="1"/>
  <c r="F82" i="19"/>
  <c r="G531" i="24" s="1"/>
  <c r="F81" i="19"/>
  <c r="G530" i="24" s="1"/>
  <c r="F79" i="19"/>
  <c r="G512" i="24" s="1"/>
  <c r="F78" i="19"/>
  <c r="G511" i="24" s="1"/>
  <c r="F76" i="19"/>
  <c r="G493" i="24" s="1"/>
  <c r="F75" i="19"/>
  <c r="G492" i="24" s="1"/>
  <c r="F71" i="19"/>
  <c r="G455" i="24" s="1"/>
  <c r="F67" i="19"/>
  <c r="G435" i="24" s="1"/>
  <c r="F56" i="19"/>
  <c r="G376" i="24" s="1"/>
  <c r="F54" i="19"/>
  <c r="G357" i="24" s="1"/>
  <c r="F52" i="19"/>
  <c r="G339" i="24" s="1"/>
  <c r="F51" i="19"/>
  <c r="G338" i="24" s="1"/>
  <c r="F47" i="19"/>
  <c r="G301" i="24" s="1"/>
  <c r="F46" i="19"/>
  <c r="G300" i="24" s="1"/>
  <c r="F44" i="19"/>
  <c r="G282" i="24" s="1"/>
  <c r="F43" i="19"/>
  <c r="G281" i="24" s="1"/>
  <c r="F40" i="19"/>
  <c r="G262" i="24" s="1"/>
  <c r="F37" i="19"/>
  <c r="G243" i="24" s="1"/>
  <c r="F35" i="19"/>
  <c r="G225" i="24" s="1"/>
  <c r="F34" i="19"/>
  <c r="G224" i="24" s="1"/>
  <c r="F31" i="19"/>
  <c r="G205" i="24" s="1"/>
  <c r="F28" i="19"/>
  <c r="G186" i="24" s="1"/>
  <c r="F25" i="19"/>
  <c r="G167" i="24" s="1"/>
  <c r="F23" i="19"/>
  <c r="G149" i="24" s="1"/>
  <c r="F22" i="19"/>
  <c r="G148" i="24" s="1"/>
  <c r="F21" i="19"/>
  <c r="G147" i="24" s="1"/>
  <c r="F19" i="19"/>
  <c r="G129" i="24" s="1"/>
  <c r="F18" i="19"/>
  <c r="G128" i="24" s="1"/>
  <c r="F16" i="19"/>
  <c r="G109" i="24" s="1"/>
  <c r="F14" i="19"/>
  <c r="G90" i="24" s="1"/>
  <c r="F12" i="19"/>
  <c r="G72" i="24" s="1"/>
  <c r="F11" i="19"/>
  <c r="G71" i="24" s="1"/>
  <c r="S109" i="19"/>
  <c r="S108" i="19"/>
  <c r="S106" i="19"/>
  <c r="P106" i="19"/>
  <c r="D742" i="24" s="1"/>
  <c r="P108" i="19"/>
  <c r="D761" i="24" s="1"/>
  <c r="P109" i="19"/>
  <c r="D762" i="24" s="1"/>
  <c r="O109" i="19"/>
  <c r="C762" i="24" s="1"/>
  <c r="O108" i="19"/>
  <c r="C761" i="24" s="1"/>
  <c r="O106" i="19"/>
  <c r="C742" i="24" s="1"/>
  <c r="S104" i="19"/>
  <c r="S103" i="19"/>
  <c r="S102" i="19"/>
  <c r="S100" i="19"/>
  <c r="P100" i="19"/>
  <c r="D703" i="24" s="1"/>
  <c r="P102" i="19"/>
  <c r="D722" i="24" s="1"/>
  <c r="P103" i="19"/>
  <c r="D723" i="24" s="1"/>
  <c r="P104" i="19"/>
  <c r="D724" i="24" s="1"/>
  <c r="O104" i="19"/>
  <c r="C724" i="24" s="1"/>
  <c r="O103" i="19"/>
  <c r="C723" i="24" s="1"/>
  <c r="O102" i="19"/>
  <c r="C722" i="24" s="1"/>
  <c r="O100" i="19"/>
  <c r="C703" i="24" s="1"/>
  <c r="Y82" i="19"/>
  <c r="Y81" i="19"/>
  <c r="S83" i="19"/>
  <c r="S82" i="19"/>
  <c r="S73" i="19"/>
  <c r="S60" i="19"/>
  <c r="S54" i="19"/>
  <c r="S52" i="19"/>
  <c r="M82" i="19"/>
  <c r="M81" i="19"/>
  <c r="M28" i="19"/>
  <c r="G82" i="19"/>
  <c r="G81" i="19"/>
  <c r="C82" i="19"/>
  <c r="C531" i="24" s="1"/>
  <c r="C81" i="19"/>
  <c r="C530" i="24" s="1"/>
  <c r="E11" i="33"/>
  <c r="D11" i="33"/>
  <c r="B16" i="17"/>
  <c r="B33" i="31"/>
  <c r="B32" i="31"/>
  <c r="F25" i="31"/>
  <c r="B25" i="31"/>
  <c r="B36" i="31"/>
  <c r="F27" i="31"/>
  <c r="C27" i="31"/>
  <c r="B27" i="31"/>
  <c r="B16" i="31"/>
  <c r="B20" i="31"/>
  <c r="B19" i="31"/>
  <c r="C13" i="31"/>
  <c r="B14" i="31"/>
  <c r="B13" i="31"/>
  <c r="B31" i="31"/>
  <c r="B18" i="31"/>
  <c r="G60" i="20"/>
  <c r="F60" i="20"/>
  <c r="G56" i="20"/>
  <c r="F56" i="20"/>
  <c r="D57" i="20"/>
  <c r="D56" i="20"/>
  <c r="D60" i="20"/>
  <c r="C60" i="20"/>
  <c r="C57" i="20"/>
  <c r="C56" i="20"/>
  <c r="G37" i="20"/>
  <c r="F37" i="20"/>
  <c r="G33" i="20"/>
  <c r="F33" i="20"/>
  <c r="G34" i="20"/>
  <c r="F34" i="20"/>
  <c r="G29" i="20"/>
  <c r="F29" i="20"/>
  <c r="C33" i="20"/>
  <c r="D37" i="20"/>
  <c r="D33" i="20"/>
  <c r="D29" i="20"/>
  <c r="C37" i="20"/>
  <c r="C29" i="20"/>
  <c r="G17" i="20"/>
  <c r="F17" i="20"/>
  <c r="C18" i="20"/>
  <c r="D18" i="20"/>
  <c r="D17" i="20"/>
  <c r="C17" i="20"/>
  <c r="B191" i="37"/>
  <c r="B12" i="37"/>
  <c r="B11" i="37"/>
  <c r="AJ147" i="24" l="1"/>
  <c r="AK147" i="24"/>
  <c r="AL147" i="24"/>
  <c r="AM147" i="24"/>
  <c r="AN530" i="24"/>
  <c r="AO530" i="24"/>
  <c r="AN593" i="24"/>
  <c r="AO593" i="24"/>
  <c r="AM174" i="24"/>
  <c r="AJ174" i="24"/>
  <c r="AK174" i="24"/>
  <c r="AL174" i="24"/>
  <c r="AN174" i="24"/>
  <c r="AO174" i="24"/>
  <c r="AM288" i="24"/>
  <c r="AO288" i="24"/>
  <c r="AL288" i="24"/>
  <c r="AJ288" i="24"/>
  <c r="AK288" i="24"/>
  <c r="AN288" i="24"/>
  <c r="AJ742" i="24"/>
  <c r="AL742" i="24"/>
  <c r="AN742" i="24"/>
  <c r="AK742" i="24"/>
  <c r="AO742" i="24"/>
  <c r="AM742" i="24"/>
  <c r="AO625" i="24"/>
  <c r="AN625" i="24"/>
  <c r="AO605" i="24"/>
  <c r="AN605" i="24"/>
  <c r="AJ186" i="24"/>
  <c r="AO186" i="24"/>
  <c r="AK186" i="24"/>
  <c r="AM186" i="24"/>
  <c r="AN186" i="24"/>
  <c r="AL186" i="24"/>
  <c r="AJ198" i="24"/>
  <c r="AK198" i="24"/>
  <c r="AN198" i="24"/>
  <c r="AO198" i="24"/>
  <c r="AO109" i="24"/>
  <c r="AJ109" i="24"/>
  <c r="AK109" i="24"/>
  <c r="AN109" i="24"/>
  <c r="AL109" i="24"/>
  <c r="AM109" i="24"/>
  <c r="AK205" i="24"/>
  <c r="AM205" i="24"/>
  <c r="AJ205" i="24"/>
  <c r="AO205" i="24"/>
  <c r="AL205" i="24"/>
  <c r="AN205" i="24"/>
  <c r="AL71" i="24"/>
  <c r="AM71" i="24"/>
  <c r="AK71" i="24"/>
  <c r="AJ71" i="24"/>
  <c r="AK128" i="24"/>
  <c r="AL128" i="24"/>
  <c r="AM128" i="24"/>
  <c r="AJ128" i="24"/>
  <c r="AJ281" i="24"/>
  <c r="AN281" i="24"/>
  <c r="AK281" i="24"/>
  <c r="AO281" i="24"/>
  <c r="AK338" i="24"/>
  <c r="AJ338" i="24"/>
  <c r="AO511" i="24"/>
  <c r="AM511" i="24"/>
  <c r="AL511" i="24"/>
  <c r="AN511" i="24"/>
  <c r="AK383" i="24"/>
  <c r="AM383" i="24"/>
  <c r="AO383" i="24"/>
  <c r="AJ383" i="24"/>
  <c r="AL383" i="24"/>
  <c r="AN383" i="24"/>
  <c r="AO761" i="24"/>
  <c r="AM761" i="24"/>
  <c r="AJ761" i="24"/>
  <c r="AL761" i="24"/>
  <c r="AN761" i="24"/>
  <c r="AK761" i="24"/>
  <c r="AM523" i="24"/>
  <c r="AN523" i="24"/>
  <c r="AO523" i="24"/>
  <c r="AL523" i="24"/>
  <c r="AO703" i="24"/>
  <c r="AL703" i="24"/>
  <c r="AM703" i="24"/>
  <c r="AJ703" i="24"/>
  <c r="AN703" i="24"/>
  <c r="AK703" i="24"/>
  <c r="AJ677" i="24"/>
  <c r="AK677" i="24"/>
  <c r="AN677" i="24"/>
  <c r="AO677" i="24"/>
  <c r="AJ155" i="24"/>
  <c r="AK155" i="24"/>
  <c r="AM155" i="24"/>
  <c r="AN155" i="24"/>
  <c r="AO155" i="24"/>
  <c r="AL155" i="24"/>
  <c r="AJ345" i="24"/>
  <c r="AL345" i="24"/>
  <c r="AN345" i="24"/>
  <c r="AM345" i="24"/>
  <c r="AK345" i="24"/>
  <c r="AO345" i="24"/>
  <c r="AK539" i="24"/>
  <c r="AJ539" i="24"/>
  <c r="AN539" i="24"/>
  <c r="AM539" i="24"/>
  <c r="AO539" i="24"/>
  <c r="AL539" i="24"/>
  <c r="AN585" i="24"/>
  <c r="AO585" i="24"/>
  <c r="AJ167" i="24"/>
  <c r="AK167" i="24"/>
  <c r="AN167" i="24"/>
  <c r="AO167" i="24"/>
  <c r="AN573" i="24"/>
  <c r="AO573" i="24"/>
  <c r="AM194" i="24"/>
  <c r="AJ194" i="24"/>
  <c r="AO194" i="24"/>
  <c r="AN194" i="24"/>
  <c r="AK194" i="24"/>
  <c r="AL194" i="24"/>
  <c r="AO326" i="24"/>
  <c r="AL326" i="24"/>
  <c r="AK326" i="24"/>
  <c r="AJ326" i="24"/>
  <c r="AM326" i="24"/>
  <c r="AN326" i="24"/>
  <c r="AO538" i="24"/>
  <c r="AL538" i="24"/>
  <c r="AM538" i="24"/>
  <c r="AN538" i="24"/>
  <c r="AK14" i="39"/>
  <c r="W9" i="39" s="1"/>
  <c r="V9" i="39"/>
  <c r="AK12" i="39"/>
  <c r="S9" i="39"/>
  <c r="D441" i="34"/>
  <c r="AK13" i="39"/>
  <c r="I38" i="39"/>
  <c r="AS45" i="24"/>
  <c r="AY39" i="24"/>
  <c r="AS43" i="24"/>
  <c r="AY37" i="24"/>
  <c r="AS42" i="24"/>
  <c r="AY36" i="24"/>
  <c r="AS44" i="24"/>
  <c r="AY38" i="24"/>
  <c r="H735" i="24"/>
  <c r="AK710" i="24"/>
  <c r="AJ737" i="24"/>
  <c r="AN737" i="24"/>
  <c r="H686" i="24"/>
  <c r="D686" i="24" s="1"/>
  <c r="AM759" i="24"/>
  <c r="AJ740" i="24"/>
  <c r="AN740" i="24"/>
  <c r="AG17" i="31"/>
  <c r="AG15" i="31"/>
  <c r="M39" i="31"/>
  <c r="AH17" i="31"/>
  <c r="AG16" i="31"/>
  <c r="AO698" i="24"/>
  <c r="K701" i="24"/>
  <c r="AG701" i="24" s="1"/>
  <c r="AK701" i="24"/>
  <c r="AO701" i="24"/>
  <c r="R759" i="24"/>
  <c r="AH759" i="24" s="1"/>
  <c r="AO768" i="24"/>
  <c r="AK756" i="24"/>
  <c r="AO756" i="24"/>
  <c r="AJ682" i="24"/>
  <c r="AN682" i="24"/>
  <c r="AK768" i="24"/>
  <c r="AO638" i="24"/>
  <c r="AM717" i="24"/>
  <c r="AM740" i="24"/>
  <c r="AK749" i="24"/>
  <c r="K754" i="24"/>
  <c r="AG754" i="24" s="1"/>
  <c r="R566" i="24"/>
  <c r="AH566" i="24" s="1"/>
  <c r="U566" i="24"/>
  <c r="AI566" i="24" s="1"/>
  <c r="R638" i="24"/>
  <c r="AH638" i="24" s="1"/>
  <c r="AK682" i="24"/>
  <c r="AO682" i="24"/>
  <c r="AK737" i="24"/>
  <c r="AO737" i="24"/>
  <c r="AJ756" i="24"/>
  <c r="AN756" i="24"/>
  <c r="R682" i="24"/>
  <c r="AH682" i="24" s="1"/>
  <c r="R701" i="24"/>
  <c r="AH701" i="24" s="1"/>
  <c r="K740" i="24"/>
  <c r="AG740" i="24" s="1"/>
  <c r="AK740" i="24"/>
  <c r="AO740" i="24"/>
  <c r="AJ759" i="24"/>
  <c r="AN759" i="24"/>
  <c r="AM638" i="24"/>
  <c r="H642" i="24"/>
  <c r="D642" i="24" s="1"/>
  <c r="AM701" i="24"/>
  <c r="AM737" i="24"/>
  <c r="AL756" i="24"/>
  <c r="K759" i="24"/>
  <c r="AG759" i="24" s="1"/>
  <c r="AK759" i="24"/>
  <c r="AO759" i="24"/>
  <c r="AI766" i="24"/>
  <c r="AI768" i="24" s="1"/>
  <c r="AJ638" i="24"/>
  <c r="AN638" i="24"/>
  <c r="U754" i="24"/>
  <c r="AI754" i="24" s="1"/>
  <c r="AM756" i="24"/>
  <c r="AL759" i="24"/>
  <c r="AK638" i="24"/>
  <c r="H729" i="24"/>
  <c r="AJ701" i="24"/>
  <c r="AN701" i="24"/>
  <c r="R740" i="24"/>
  <c r="AH740" i="24" s="1"/>
  <c r="AL740" i="24"/>
  <c r="AO749" i="24"/>
  <c r="U638" i="24"/>
  <c r="AI638" i="24" s="1"/>
  <c r="H696" i="24"/>
  <c r="H754" i="24"/>
  <c r="U736" i="24"/>
  <c r="AI736" i="24" s="1"/>
  <c r="AG766" i="24"/>
  <c r="AG768" i="24" s="1"/>
  <c r="AL701" i="24"/>
  <c r="AM682" i="24"/>
  <c r="K728" i="24"/>
  <c r="AG728" i="24" s="1"/>
  <c r="U697" i="24"/>
  <c r="AI697" i="24" s="1"/>
  <c r="AG699" i="24"/>
  <c r="AO710" i="24"/>
  <c r="AL737" i="24"/>
  <c r="H736" i="24"/>
  <c r="AG738" i="24"/>
  <c r="AG747" i="24"/>
  <c r="AG749" i="24" s="1"/>
  <c r="U755" i="24"/>
  <c r="AI755" i="24" s="1"/>
  <c r="AN679" i="24"/>
  <c r="AN698" i="24"/>
  <c r="K735" i="24"/>
  <c r="AG735" i="24" s="1"/>
  <c r="K736" i="24"/>
  <c r="AG736" i="24" s="1"/>
  <c r="AH738" i="24"/>
  <c r="AI747" i="24"/>
  <c r="AI749" i="24" s="1"/>
  <c r="AH754" i="24"/>
  <c r="R756" i="24"/>
  <c r="U759" i="24"/>
  <c r="AI759" i="24" s="1"/>
  <c r="H768" i="24"/>
  <c r="AH768" i="24"/>
  <c r="AL768" i="24"/>
  <c r="H755" i="24"/>
  <c r="AG757" i="24"/>
  <c r="H759" i="24"/>
  <c r="K768" i="24"/>
  <c r="W768" i="24" s="1"/>
  <c r="AM768" i="24"/>
  <c r="K755" i="24"/>
  <c r="AG755" i="24" s="1"/>
  <c r="AH757" i="24"/>
  <c r="R768" i="24"/>
  <c r="Y768" i="24" s="1"/>
  <c r="AJ768" i="24"/>
  <c r="AN768" i="24"/>
  <c r="U768" i="24"/>
  <c r="AA768" i="24" s="1"/>
  <c r="U740" i="24"/>
  <c r="AI740" i="24" s="1"/>
  <c r="H749" i="24"/>
  <c r="AH749" i="24"/>
  <c r="AL749" i="24"/>
  <c r="R735" i="24"/>
  <c r="H740" i="24"/>
  <c r="K749" i="24"/>
  <c r="W749" i="24" s="1"/>
  <c r="AM749" i="24"/>
  <c r="U735" i="24"/>
  <c r="R749" i="24"/>
  <c r="Y749" i="24" s="1"/>
  <c r="AJ749" i="24"/>
  <c r="AN749" i="24"/>
  <c r="U749" i="24"/>
  <c r="AA749" i="24" s="1"/>
  <c r="AM698" i="24"/>
  <c r="U701" i="24"/>
  <c r="AI701" i="24" s="1"/>
  <c r="AH710" i="24"/>
  <c r="R696" i="24"/>
  <c r="H697" i="24"/>
  <c r="AK698" i="24"/>
  <c r="H701" i="24"/>
  <c r="K710" i="24"/>
  <c r="W710" i="24" s="1"/>
  <c r="AI710" i="24"/>
  <c r="AM710" i="24"/>
  <c r="AJ698" i="24"/>
  <c r="H710" i="24"/>
  <c r="AL710" i="24"/>
  <c r="U696" i="24"/>
  <c r="K697" i="24"/>
  <c r="AG697" i="24" s="1"/>
  <c r="AL698" i="24"/>
  <c r="AH699" i="24"/>
  <c r="AG708" i="24"/>
  <c r="AG710" i="24" s="1"/>
  <c r="R710" i="24"/>
  <c r="Y710" i="24" s="1"/>
  <c r="AJ710" i="24"/>
  <c r="AN710" i="24"/>
  <c r="U710" i="24"/>
  <c r="AA710" i="24" s="1"/>
  <c r="AL638" i="24"/>
  <c r="AO679" i="24"/>
  <c r="AL679" i="24"/>
  <c r="AL682" i="24"/>
  <c r="U682" i="24"/>
  <c r="AI682" i="24" s="1"/>
  <c r="AO720" i="24"/>
  <c r="AM679" i="24"/>
  <c r="H715" i="24"/>
  <c r="AK720" i="24"/>
  <c r="K716" i="24"/>
  <c r="AG716" i="24" s="1"/>
  <c r="H719" i="24"/>
  <c r="AL720" i="24"/>
  <c r="U728" i="24"/>
  <c r="AI728" i="24" s="1"/>
  <c r="K729" i="24"/>
  <c r="AG729" i="24" s="1"/>
  <c r="U716" i="24"/>
  <c r="AI716" i="24" s="1"/>
  <c r="AN720" i="24"/>
  <c r="K719" i="24"/>
  <c r="AG719" i="24" s="1"/>
  <c r="AM720" i="24"/>
  <c r="AG718" i="24"/>
  <c r="AJ720" i="24"/>
  <c r="AH728" i="24"/>
  <c r="AJ717" i="24"/>
  <c r="R718" i="24"/>
  <c r="R715" i="24"/>
  <c r="H716" i="24"/>
  <c r="AK717" i="24"/>
  <c r="AO717" i="24"/>
  <c r="U718" i="24"/>
  <c r="H728" i="24"/>
  <c r="R729" i="24"/>
  <c r="AH729" i="24" s="1"/>
  <c r="U715" i="24"/>
  <c r="AL717" i="24"/>
  <c r="H718" i="24"/>
  <c r="R719" i="24"/>
  <c r="AH719" i="24" s="1"/>
  <c r="U729" i="24"/>
  <c r="AI729" i="24" s="1"/>
  <c r="K691" i="24"/>
  <c r="W691" i="24" s="1"/>
  <c r="AG689" i="24"/>
  <c r="AG691" i="24" s="1"/>
  <c r="R689" i="24"/>
  <c r="AJ679" i="24"/>
  <c r="H689" i="24"/>
  <c r="H691" i="24" s="1"/>
  <c r="AK691" i="24"/>
  <c r="H682" i="24"/>
  <c r="D682" i="24" s="1"/>
  <c r="U689" i="24"/>
  <c r="AJ691" i="24"/>
  <c r="AK679" i="24"/>
  <c r="K682" i="24"/>
  <c r="AG682" i="24" s="1"/>
  <c r="AH680" i="24"/>
  <c r="H638" i="24"/>
  <c r="D638" i="24" s="1"/>
  <c r="K638" i="24"/>
  <c r="AG638" i="24" s="1"/>
  <c r="AH636" i="24"/>
  <c r="P54" i="19"/>
  <c r="D364" i="24" s="1"/>
  <c r="O54" i="19"/>
  <c r="C364" i="24" s="1"/>
  <c r="I5" i="37"/>
  <c r="K5" i="37"/>
  <c r="L5" i="37"/>
  <c r="B17" i="37"/>
  <c r="O103" i="37"/>
  <c r="O104" i="37"/>
  <c r="O105" i="37"/>
  <c r="O106" i="37"/>
  <c r="O107" i="37"/>
  <c r="O108" i="37"/>
  <c r="O109" i="37"/>
  <c r="O110" i="37"/>
  <c r="O111" i="37"/>
  <c r="O112" i="37"/>
  <c r="O113" i="37"/>
  <c r="O114" i="37"/>
  <c r="O115" i="37"/>
  <c r="O116" i="37"/>
  <c r="O118" i="37"/>
  <c r="O120" i="37"/>
  <c r="O121" i="37"/>
  <c r="O122" i="37"/>
  <c r="O123" i="37"/>
  <c r="O124" i="37"/>
  <c r="O125" i="37"/>
  <c r="O127" i="37"/>
  <c r="O128" i="37"/>
  <c r="O129" i="37"/>
  <c r="O130" i="37"/>
  <c r="O131" i="37"/>
  <c r="O132" i="37"/>
  <c r="O133" i="37"/>
  <c r="O134" i="37"/>
  <c r="O135" i="37"/>
  <c r="O136" i="37"/>
  <c r="O137" i="37"/>
  <c r="O138" i="37"/>
  <c r="O139" i="37"/>
  <c r="O140" i="37"/>
  <c r="O141" i="37"/>
  <c r="O147" i="37"/>
  <c r="O148" i="37"/>
  <c r="O149" i="37"/>
  <c r="O150" i="37"/>
  <c r="O151" i="37"/>
  <c r="O152" i="37"/>
  <c r="O153" i="37"/>
  <c r="O154" i="37"/>
  <c r="O155" i="37"/>
  <c r="O157" i="37"/>
  <c r="O158" i="37"/>
  <c r="O159" i="37"/>
  <c r="O160" i="37"/>
  <c r="O161" i="37"/>
  <c r="O162" i="37"/>
  <c r="O163" i="37"/>
  <c r="O164" i="37"/>
  <c r="O165" i="37"/>
  <c r="O166" i="37"/>
  <c r="O167" i="37"/>
  <c r="O168" i="37"/>
  <c r="O169" i="37"/>
  <c r="O171" i="37"/>
  <c r="O172" i="37"/>
  <c r="O173" i="37"/>
  <c r="O174" i="37"/>
  <c r="O175" i="37"/>
  <c r="O176" i="37"/>
  <c r="O177" i="37"/>
  <c r="O178" i="37"/>
  <c r="O179" i="37"/>
  <c r="O180" i="37"/>
  <c r="O181" i="37"/>
  <c r="O182" i="37"/>
  <c r="O183" i="37"/>
  <c r="O184" i="37"/>
  <c r="O185" i="37"/>
  <c r="O186" i="37"/>
  <c r="O187" i="37"/>
  <c r="O188" i="37"/>
  <c r="O189" i="37"/>
  <c r="O190" i="37"/>
  <c r="O191" i="37"/>
  <c r="O192" i="37"/>
  <c r="O193" i="37"/>
  <c r="O194" i="37"/>
  <c r="O195" i="37"/>
  <c r="O196" i="37"/>
  <c r="O197" i="37"/>
  <c r="O198" i="37"/>
  <c r="O200" i="37"/>
  <c r="O201" i="37"/>
  <c r="O203" i="37"/>
  <c r="O204" i="37"/>
  <c r="O206" i="37"/>
  <c r="O207" i="37"/>
  <c r="O208" i="37"/>
  <c r="O209" i="37"/>
  <c r="O210" i="37"/>
  <c r="O217" i="37"/>
  <c r="O218" i="37"/>
  <c r="O219" i="37"/>
  <c r="O220" i="37"/>
  <c r="O221" i="37"/>
  <c r="O222" i="37"/>
  <c r="O223" i="37"/>
  <c r="O224" i="37"/>
  <c r="O225" i="37"/>
  <c r="O226" i="37"/>
  <c r="O227" i="37"/>
  <c r="O228" i="37"/>
  <c r="O229" i="37"/>
  <c r="O230" i="37"/>
  <c r="O231" i="37"/>
  <c r="O232" i="37"/>
  <c r="O233" i="37"/>
  <c r="O234" i="37"/>
  <c r="O10" i="37"/>
  <c r="O11" i="37"/>
  <c r="O12" i="37"/>
  <c r="O13" i="37"/>
  <c r="O14" i="37"/>
  <c r="O15" i="37"/>
  <c r="O16" i="37"/>
  <c r="O17" i="37"/>
  <c r="O18" i="37"/>
  <c r="O19" i="37"/>
  <c r="O20" i="37"/>
  <c r="O21" i="37"/>
  <c r="O22" i="37"/>
  <c r="O23" i="37"/>
  <c r="O24" i="37"/>
  <c r="O25" i="37"/>
  <c r="O26" i="37"/>
  <c r="O30" i="37"/>
  <c r="O31" i="37"/>
  <c r="O32" i="37"/>
  <c r="O33" i="37"/>
  <c r="O34" i="37"/>
  <c r="O35" i="37"/>
  <c r="O36" i="37"/>
  <c r="O37" i="37"/>
  <c r="O38" i="37"/>
  <c r="O39" i="37"/>
  <c r="O40" i="37"/>
  <c r="O45" i="37"/>
  <c r="O47" i="37"/>
  <c r="O49" i="37"/>
  <c r="O50" i="37"/>
  <c r="O51" i="37"/>
  <c r="O52" i="37"/>
  <c r="O54" i="37"/>
  <c r="O55" i="37"/>
  <c r="O57" i="37"/>
  <c r="O58" i="37"/>
  <c r="O59" i="37"/>
  <c r="O60" i="37"/>
  <c r="O62" i="37"/>
  <c r="O63" i="37"/>
  <c r="O64" i="37"/>
  <c r="O66" i="37"/>
  <c r="O67" i="37"/>
  <c r="O74" i="37"/>
  <c r="O75" i="37"/>
  <c r="O76" i="37"/>
  <c r="O77" i="37"/>
  <c r="O78" i="37"/>
  <c r="O79" i="37"/>
  <c r="O80" i="37"/>
  <c r="O81" i="37"/>
  <c r="O82" i="37"/>
  <c r="O83" i="37"/>
  <c r="O84" i="37"/>
  <c r="O85" i="37"/>
  <c r="O86" i="37"/>
  <c r="O87" i="37"/>
  <c r="O88" i="37"/>
  <c r="O89" i="37"/>
  <c r="O90" i="37"/>
  <c r="O91" i="37"/>
  <c r="O92" i="37"/>
  <c r="O93" i="37"/>
  <c r="O94" i="37"/>
  <c r="O95" i="37"/>
  <c r="O96" i="37"/>
  <c r="O97" i="37"/>
  <c r="O98" i="37"/>
  <c r="O99" i="37"/>
  <c r="O100" i="37"/>
  <c r="O101" i="37"/>
  <c r="O102" i="37"/>
  <c r="O9" i="37"/>
  <c r="G5" i="37"/>
  <c r="H5" i="37"/>
  <c r="J5" i="37"/>
  <c r="C5" i="37"/>
  <c r="D5" i="37"/>
  <c r="E5" i="37"/>
  <c r="F5" i="37"/>
  <c r="H179" i="24"/>
  <c r="K179" i="24"/>
  <c r="AG179" i="24" s="1"/>
  <c r="R179" i="24"/>
  <c r="AH179" i="24" s="1"/>
  <c r="U179" i="24"/>
  <c r="AI179" i="24" s="1"/>
  <c r="A210" i="37"/>
  <c r="A10" i="37"/>
  <c r="A11" i="37"/>
  <c r="A12" i="37"/>
  <c r="A13" i="37"/>
  <c r="A14" i="37"/>
  <c r="A15" i="37"/>
  <c r="A16" i="37"/>
  <c r="A17" i="37"/>
  <c r="A18" i="37"/>
  <c r="A19" i="37"/>
  <c r="A20" i="37"/>
  <c r="A21" i="37"/>
  <c r="A22" i="37"/>
  <c r="A23" i="37"/>
  <c r="A24" i="37"/>
  <c r="A25" i="37"/>
  <c r="A26" i="37"/>
  <c r="A32" i="37"/>
  <c r="A33" i="37"/>
  <c r="A34" i="37"/>
  <c r="A35" i="37"/>
  <c r="A36" i="37"/>
  <c r="A37" i="37"/>
  <c r="A38" i="37"/>
  <c r="A39" i="37"/>
  <c r="A40" i="37"/>
  <c r="A44" i="37"/>
  <c r="A45" i="37"/>
  <c r="A46" i="37"/>
  <c r="A47" i="37"/>
  <c r="A48" i="37"/>
  <c r="A49" i="37"/>
  <c r="A50" i="37"/>
  <c r="A51" i="37"/>
  <c r="A52" i="37"/>
  <c r="A53" i="37"/>
  <c r="A54" i="37"/>
  <c r="A55" i="37"/>
  <c r="A56" i="37"/>
  <c r="A57" i="37"/>
  <c r="A58" i="37"/>
  <c r="A59" i="37"/>
  <c r="A60" i="37"/>
  <c r="A61" i="37"/>
  <c r="A62" i="37"/>
  <c r="A63" i="37"/>
  <c r="A64" i="37"/>
  <c r="A65" i="37"/>
  <c r="A66" i="37"/>
  <c r="A67" i="37"/>
  <c r="A68" i="37"/>
  <c r="A69" i="37"/>
  <c r="A74" i="37"/>
  <c r="A75" i="37"/>
  <c r="A76" i="37"/>
  <c r="A77" i="37"/>
  <c r="A78" i="37"/>
  <c r="A79" i="37"/>
  <c r="A80" i="37"/>
  <c r="A81" i="37"/>
  <c r="A82" i="37"/>
  <c r="A83" i="37"/>
  <c r="A84" i="37"/>
  <c r="A85" i="37"/>
  <c r="A86" i="37"/>
  <c r="A87" i="37"/>
  <c r="A88" i="37"/>
  <c r="A89" i="37"/>
  <c r="A90" i="37"/>
  <c r="A91" i="37"/>
  <c r="A92" i="37"/>
  <c r="A93" i="37"/>
  <c r="A94" i="37"/>
  <c r="A95" i="37"/>
  <c r="A96" i="37"/>
  <c r="A97" i="37"/>
  <c r="A98" i="37"/>
  <c r="A99" i="37"/>
  <c r="A100" i="37"/>
  <c r="A101" i="37"/>
  <c r="A102" i="37"/>
  <c r="A103" i="37"/>
  <c r="A104" i="37"/>
  <c r="A105" i="37"/>
  <c r="A106" i="37"/>
  <c r="A107" i="37"/>
  <c r="A108" i="37"/>
  <c r="A109" i="37"/>
  <c r="A110" i="37"/>
  <c r="A111" i="37"/>
  <c r="A112" i="37"/>
  <c r="A113" i="37"/>
  <c r="A114" i="37"/>
  <c r="A115" i="37"/>
  <c r="A116" i="37"/>
  <c r="A117" i="37"/>
  <c r="A118" i="37"/>
  <c r="A119" i="37"/>
  <c r="A120" i="37"/>
  <c r="A121" i="37"/>
  <c r="A122" i="37"/>
  <c r="A123" i="37"/>
  <c r="A124" i="37"/>
  <c r="A125" i="37"/>
  <c r="A126" i="37"/>
  <c r="A127" i="37"/>
  <c r="A128" i="37"/>
  <c r="A129" i="37"/>
  <c r="A130" i="37"/>
  <c r="A131" i="37"/>
  <c r="A132" i="37"/>
  <c r="A133" i="37"/>
  <c r="A134" i="37"/>
  <c r="A135" i="37"/>
  <c r="A136" i="37"/>
  <c r="A137" i="37"/>
  <c r="A138" i="37"/>
  <c r="A139" i="37"/>
  <c r="A140" i="37"/>
  <c r="A141" i="37"/>
  <c r="A147" i="37"/>
  <c r="A148" i="37"/>
  <c r="A149" i="37"/>
  <c r="A150" i="37"/>
  <c r="A151" i="37"/>
  <c r="A152" i="37"/>
  <c r="A153" i="37"/>
  <c r="A154" i="37"/>
  <c r="A155" i="37"/>
  <c r="A156" i="37"/>
  <c r="A157" i="37"/>
  <c r="A158" i="37"/>
  <c r="A159" i="37"/>
  <c r="A160" i="37"/>
  <c r="A161" i="37"/>
  <c r="A162" i="37"/>
  <c r="A163" i="37"/>
  <c r="A164" i="37"/>
  <c r="A165" i="37"/>
  <c r="A166" i="37"/>
  <c r="A167" i="37"/>
  <c r="A168" i="37"/>
  <c r="A169" i="37"/>
  <c r="A170" i="37"/>
  <c r="A171" i="37"/>
  <c r="A172" i="37"/>
  <c r="A173" i="37"/>
  <c r="A174" i="37"/>
  <c r="A175" i="37"/>
  <c r="A176" i="37"/>
  <c r="A177" i="37"/>
  <c r="A178" i="37"/>
  <c r="A179" i="37"/>
  <c r="A180" i="37"/>
  <c r="A181" i="37"/>
  <c r="A182" i="37"/>
  <c r="A183" i="37"/>
  <c r="A184" i="37"/>
  <c r="A185" i="37"/>
  <c r="A186" i="37"/>
  <c r="A187" i="37"/>
  <c r="A188" i="37"/>
  <c r="A189" i="37"/>
  <c r="A190" i="37"/>
  <c r="A191" i="37"/>
  <c r="A192" i="37"/>
  <c r="A193" i="37"/>
  <c r="A194" i="37"/>
  <c r="A195" i="37"/>
  <c r="A196" i="37"/>
  <c r="A197" i="37"/>
  <c r="A198" i="37"/>
  <c r="A199" i="37"/>
  <c r="A200" i="37"/>
  <c r="A201" i="37"/>
  <c r="A202" i="37"/>
  <c r="A203" i="37"/>
  <c r="A204" i="37"/>
  <c r="A205" i="37"/>
  <c r="A206" i="37"/>
  <c r="A209" i="37"/>
  <c r="A216" i="37"/>
  <c r="A217" i="37"/>
  <c r="A218" i="37"/>
  <c r="A219" i="37"/>
  <c r="A220" i="37"/>
  <c r="A221" i="37"/>
  <c r="A222" i="37"/>
  <c r="A223" i="37"/>
  <c r="A224" i="37"/>
  <c r="A225" i="37"/>
  <c r="A226" i="37"/>
  <c r="A227" i="37"/>
  <c r="A228" i="37"/>
  <c r="A229" i="37"/>
  <c r="A230" i="37"/>
  <c r="A231" i="37"/>
  <c r="A232" i="37"/>
  <c r="A233" i="37"/>
  <c r="A234" i="37"/>
  <c r="A240" i="37"/>
  <c r="A241" i="37"/>
  <c r="A242" i="37"/>
  <c r="A243" i="37"/>
  <c r="A244" i="37"/>
  <c r="A9" i="37"/>
  <c r="B185" i="37"/>
  <c r="B186" i="37"/>
  <c r="B187" i="37"/>
  <c r="B188" i="37"/>
  <c r="B189" i="37"/>
  <c r="B190" i="37"/>
  <c r="B192" i="37"/>
  <c r="B193" i="37"/>
  <c r="B194" i="37"/>
  <c r="B195" i="37"/>
  <c r="B196" i="37"/>
  <c r="B197" i="37"/>
  <c r="B198" i="37"/>
  <c r="B199" i="37"/>
  <c r="B200" i="37"/>
  <c r="B201" i="37"/>
  <c r="B202" i="37"/>
  <c r="B203" i="37"/>
  <c r="B204" i="37"/>
  <c r="B205" i="37"/>
  <c r="B206" i="37"/>
  <c r="B209" i="37"/>
  <c r="B210" i="37"/>
  <c r="B216" i="37"/>
  <c r="B217" i="37"/>
  <c r="B218" i="37"/>
  <c r="B219" i="37"/>
  <c r="B220" i="37"/>
  <c r="B221" i="37"/>
  <c r="B222" i="37"/>
  <c r="B223" i="37"/>
  <c r="B224" i="37"/>
  <c r="B225" i="37"/>
  <c r="B226" i="37"/>
  <c r="B227" i="37"/>
  <c r="B228" i="37"/>
  <c r="B229" i="37"/>
  <c r="B230" i="37"/>
  <c r="B231" i="37"/>
  <c r="B232" i="37"/>
  <c r="B233" i="37"/>
  <c r="B234" i="37"/>
  <c r="B240" i="37"/>
  <c r="B241" i="37"/>
  <c r="B242" i="37"/>
  <c r="B243" i="37"/>
  <c r="B244" i="37"/>
  <c r="B19" i="37"/>
  <c r="B20" i="37"/>
  <c r="B21" i="37"/>
  <c r="B22" i="37"/>
  <c r="B23" i="37"/>
  <c r="B24" i="37"/>
  <c r="B25" i="37"/>
  <c r="B26" i="37"/>
  <c r="B32" i="37"/>
  <c r="B33" i="37"/>
  <c r="B34" i="37"/>
  <c r="B35" i="37"/>
  <c r="B36" i="37"/>
  <c r="B37" i="37"/>
  <c r="B38" i="37"/>
  <c r="B39" i="37"/>
  <c r="B40" i="37"/>
  <c r="B44" i="37"/>
  <c r="B45" i="37"/>
  <c r="B46" i="37"/>
  <c r="B47" i="37"/>
  <c r="B48" i="37"/>
  <c r="B49" i="37"/>
  <c r="B50" i="37"/>
  <c r="B51" i="37"/>
  <c r="B52" i="37"/>
  <c r="B53" i="37"/>
  <c r="B54" i="37"/>
  <c r="B55" i="37"/>
  <c r="B56" i="37"/>
  <c r="B57" i="37"/>
  <c r="B58" i="37"/>
  <c r="B59" i="37"/>
  <c r="B60" i="37"/>
  <c r="B61" i="37"/>
  <c r="B62" i="37"/>
  <c r="B63" i="37"/>
  <c r="B64" i="37"/>
  <c r="B65" i="37"/>
  <c r="B66" i="37"/>
  <c r="B67" i="37"/>
  <c r="B68" i="37"/>
  <c r="B69" i="37"/>
  <c r="B74" i="37"/>
  <c r="B75" i="37"/>
  <c r="B76" i="37"/>
  <c r="B77" i="37"/>
  <c r="B78" i="37"/>
  <c r="B79" i="37"/>
  <c r="B80" i="37"/>
  <c r="B81" i="37"/>
  <c r="B82" i="37"/>
  <c r="B83" i="37"/>
  <c r="B84" i="37"/>
  <c r="B85" i="37"/>
  <c r="B86" i="37"/>
  <c r="B87" i="37"/>
  <c r="B88" i="37"/>
  <c r="B89" i="37"/>
  <c r="B90" i="37"/>
  <c r="B91" i="37"/>
  <c r="B92" i="37"/>
  <c r="B93" i="37"/>
  <c r="B94" i="37"/>
  <c r="B95" i="37"/>
  <c r="B96" i="37"/>
  <c r="B97" i="37"/>
  <c r="B98" i="37"/>
  <c r="B99" i="37"/>
  <c r="B100" i="37"/>
  <c r="B101" i="37"/>
  <c r="B102" i="37"/>
  <c r="B103" i="37"/>
  <c r="B104" i="37"/>
  <c r="B105" i="37"/>
  <c r="B106" i="37"/>
  <c r="B107" i="37"/>
  <c r="B108" i="37"/>
  <c r="B109" i="37"/>
  <c r="B110" i="37"/>
  <c r="B111" i="37"/>
  <c r="B112" i="37"/>
  <c r="B113" i="37"/>
  <c r="B114" i="37"/>
  <c r="B115" i="37"/>
  <c r="B116" i="37"/>
  <c r="B117" i="37"/>
  <c r="B118" i="37"/>
  <c r="B119" i="37"/>
  <c r="B120" i="37"/>
  <c r="B121" i="37"/>
  <c r="B122" i="37"/>
  <c r="B123" i="37"/>
  <c r="B124" i="37"/>
  <c r="B125" i="37"/>
  <c r="B126" i="37"/>
  <c r="B127" i="37"/>
  <c r="B128" i="37"/>
  <c r="B129" i="37"/>
  <c r="B130" i="37"/>
  <c r="B131" i="37"/>
  <c r="B132" i="37"/>
  <c r="B133" i="37"/>
  <c r="B134" i="37"/>
  <c r="B135" i="37"/>
  <c r="B136" i="37"/>
  <c r="B137" i="37"/>
  <c r="B138" i="37"/>
  <c r="B139" i="37"/>
  <c r="B140" i="37"/>
  <c r="B141" i="37"/>
  <c r="B147" i="37"/>
  <c r="B148" i="37"/>
  <c r="B149" i="37"/>
  <c r="B150" i="37"/>
  <c r="B151" i="37"/>
  <c r="B152" i="37"/>
  <c r="B153" i="37"/>
  <c r="B154" i="37"/>
  <c r="B155" i="37"/>
  <c r="B156" i="37"/>
  <c r="B157" i="37"/>
  <c r="B158" i="37"/>
  <c r="B159" i="37"/>
  <c r="B160" i="37"/>
  <c r="B161" i="37"/>
  <c r="B162" i="37"/>
  <c r="B163" i="37"/>
  <c r="B164" i="37"/>
  <c r="B165" i="37"/>
  <c r="B166" i="37"/>
  <c r="B167" i="37"/>
  <c r="B168" i="37"/>
  <c r="B169" i="37"/>
  <c r="B170" i="37"/>
  <c r="B171" i="37"/>
  <c r="B172" i="37"/>
  <c r="B173" i="37"/>
  <c r="B174" i="37"/>
  <c r="B175" i="37"/>
  <c r="B176" i="37"/>
  <c r="B177" i="37"/>
  <c r="B178" i="37"/>
  <c r="B179" i="37"/>
  <c r="B180" i="37"/>
  <c r="B181" i="37"/>
  <c r="B182" i="37"/>
  <c r="B183" i="37"/>
  <c r="B184" i="37"/>
  <c r="B10" i="37"/>
  <c r="B13" i="37"/>
  <c r="B14" i="37"/>
  <c r="B15" i="37"/>
  <c r="B16" i="37"/>
  <c r="B18" i="37"/>
  <c r="B9" i="37"/>
  <c r="AJ569" i="34"/>
  <c r="AC19" i="24"/>
  <c r="AD19" i="24"/>
  <c r="AF19" i="24"/>
  <c r="AI423" i="24"/>
  <c r="AI424" i="24"/>
  <c r="AM663" i="24"/>
  <c r="AL663" i="24"/>
  <c r="AK663" i="24"/>
  <c r="AJ663" i="24"/>
  <c r="AH663" i="24"/>
  <c r="AG663" i="24"/>
  <c r="AH662" i="24"/>
  <c r="AG662" i="24"/>
  <c r="AH661" i="24"/>
  <c r="AG661" i="24"/>
  <c r="AM615" i="24"/>
  <c r="AL615" i="24"/>
  <c r="AJ615" i="24"/>
  <c r="AM602" i="24"/>
  <c r="AL602" i="24"/>
  <c r="AK602" i="24"/>
  <c r="AJ602" i="24"/>
  <c r="AH602" i="24"/>
  <c r="AG602" i="24"/>
  <c r="AH601" i="24"/>
  <c r="AG601" i="24"/>
  <c r="AH600" i="24"/>
  <c r="AG600" i="24"/>
  <c r="AM582" i="24"/>
  <c r="AL582" i="24"/>
  <c r="AK582" i="24"/>
  <c r="AJ582" i="24"/>
  <c r="AH582" i="24"/>
  <c r="AG582" i="24"/>
  <c r="AH581" i="24"/>
  <c r="AG581" i="24"/>
  <c r="AH580" i="24"/>
  <c r="AG580" i="24"/>
  <c r="AL575" i="24"/>
  <c r="AI554" i="24"/>
  <c r="AH554" i="24"/>
  <c r="AG554" i="24"/>
  <c r="AH443" i="24"/>
  <c r="AG443" i="24"/>
  <c r="AL169" i="24"/>
  <c r="H399" i="24"/>
  <c r="H398" i="24"/>
  <c r="H396" i="24"/>
  <c r="H151" i="24"/>
  <c r="H409" i="24"/>
  <c r="H667" i="24"/>
  <c r="H662" i="24"/>
  <c r="H661" i="24"/>
  <c r="H658" i="24"/>
  <c r="H657" i="24"/>
  <c r="H655" i="24"/>
  <c r="H626" i="24"/>
  <c r="H621" i="24"/>
  <c r="H620" i="24"/>
  <c r="H617" i="24"/>
  <c r="H616" i="24"/>
  <c r="H614" i="24"/>
  <c r="H606" i="24"/>
  <c r="H601" i="24"/>
  <c r="H600" i="24"/>
  <c r="H597" i="24"/>
  <c r="H596" i="24"/>
  <c r="H586" i="24"/>
  <c r="H581" i="24"/>
  <c r="H580" i="24"/>
  <c r="H577" i="24"/>
  <c r="H576" i="24"/>
  <c r="H574" i="24"/>
  <c r="H557" i="24"/>
  <c r="H556" i="24"/>
  <c r="H554" i="24"/>
  <c r="H524" i="24"/>
  <c r="H515" i="24"/>
  <c r="H514" i="24"/>
  <c r="H505" i="24"/>
  <c r="H504" i="24"/>
  <c r="H500" i="24"/>
  <c r="H496" i="24"/>
  <c r="H495" i="24"/>
  <c r="H486" i="24"/>
  <c r="H485" i="24"/>
  <c r="H481" i="24"/>
  <c r="H477" i="24"/>
  <c r="H474" i="24"/>
  <c r="H467" i="24"/>
  <c r="H462" i="24"/>
  <c r="H458" i="24"/>
  <c r="H457" i="24"/>
  <c r="H448" i="24"/>
  <c r="H443" i="24"/>
  <c r="H439" i="24"/>
  <c r="H438" i="24"/>
  <c r="H436" i="24"/>
  <c r="H389" i="24"/>
  <c r="H388" i="24"/>
  <c r="H384" i="24"/>
  <c r="H380" i="24"/>
  <c r="H379" i="24"/>
  <c r="H377" i="24"/>
  <c r="H370" i="24"/>
  <c r="H369" i="24"/>
  <c r="H365" i="24"/>
  <c r="H361" i="24"/>
  <c r="H360" i="24"/>
  <c r="H358" i="24"/>
  <c r="H351" i="24"/>
  <c r="H350" i="24"/>
  <c r="H342" i="24"/>
  <c r="H332" i="24"/>
  <c r="H327" i="24"/>
  <c r="H323" i="24"/>
  <c r="H320" i="24"/>
  <c r="H313" i="24"/>
  <c r="H312" i="24"/>
  <c r="H304" i="24"/>
  <c r="H294" i="24"/>
  <c r="H285" i="24"/>
  <c r="H275" i="24"/>
  <c r="H274" i="24"/>
  <c r="H266" i="24"/>
  <c r="H263" i="24"/>
  <c r="H256" i="24"/>
  <c r="H255" i="24"/>
  <c r="H247" i="24"/>
  <c r="H246" i="24"/>
  <c r="H244" i="24"/>
  <c r="H237" i="24"/>
  <c r="H236" i="24"/>
  <c r="H232" i="24"/>
  <c r="H228" i="24"/>
  <c r="H218" i="24"/>
  <c r="H213" i="24"/>
  <c r="H206" i="24"/>
  <c r="H199" i="24"/>
  <c r="H190" i="24"/>
  <c r="H187" i="24"/>
  <c r="H171" i="24"/>
  <c r="H170" i="24"/>
  <c r="H168" i="24"/>
  <c r="H141" i="24"/>
  <c r="H140" i="24"/>
  <c r="H136" i="24"/>
  <c r="H132" i="24"/>
  <c r="H131" i="24"/>
  <c r="H122" i="24"/>
  <c r="H121" i="24"/>
  <c r="H117" i="24"/>
  <c r="H113" i="24"/>
  <c r="H110" i="24"/>
  <c r="H103" i="24"/>
  <c r="H102" i="24"/>
  <c r="H98" i="24"/>
  <c r="H94" i="24"/>
  <c r="H93" i="24"/>
  <c r="H91" i="24"/>
  <c r="H84" i="24"/>
  <c r="H83" i="24"/>
  <c r="H79" i="24"/>
  <c r="H75" i="24"/>
  <c r="H74" i="24"/>
  <c r="H424" i="24"/>
  <c r="H429" i="24"/>
  <c r="H416" i="24"/>
  <c r="H161" i="24"/>
  <c r="H160" i="24"/>
  <c r="H156" i="24"/>
  <c r="H152" i="24"/>
  <c r="H64" i="24"/>
  <c r="H63" i="24"/>
  <c r="H55" i="24"/>
  <c r="H54" i="24"/>
  <c r="H52" i="24"/>
  <c r="AS33" i="24"/>
  <c r="AS16" i="24"/>
  <c r="AS15" i="24"/>
  <c r="AS13" i="24"/>
  <c r="B180" i="24"/>
  <c r="B605" i="24"/>
  <c r="B593" i="24"/>
  <c r="B585" i="24"/>
  <c r="B573" i="24"/>
  <c r="B565" i="24"/>
  <c r="B553" i="24"/>
  <c r="B543" i="24"/>
  <c r="B542" i="24"/>
  <c r="B538" i="24"/>
  <c r="B539" i="24"/>
  <c r="B534" i="24"/>
  <c r="B533" i="24"/>
  <c r="B531" i="24"/>
  <c r="B530" i="24"/>
  <c r="D79" i="19"/>
  <c r="D512" i="24" s="1"/>
  <c r="G79" i="19"/>
  <c r="B512" i="24" s="1"/>
  <c r="C79" i="19"/>
  <c r="C512" i="24" s="1"/>
  <c r="B480" i="24"/>
  <c r="B461" i="24"/>
  <c r="B403" i="24"/>
  <c r="B364" i="24"/>
  <c r="B189" i="24"/>
  <c r="C530" i="34"/>
  <c r="C531" i="34"/>
  <c r="C532" i="34"/>
  <c r="C529" i="34"/>
  <c r="E89" i="15"/>
  <c r="E90" i="15"/>
  <c r="E91" i="15"/>
  <c r="E92" i="15"/>
  <c r="E93" i="15"/>
  <c r="E88" i="15"/>
  <c r="D442" i="34" l="1"/>
  <c r="J38" i="39"/>
  <c r="K38" i="39"/>
  <c r="D443" i="34"/>
  <c r="L38" i="39"/>
  <c r="D444" i="34"/>
  <c r="X9" i="39"/>
  <c r="K38" i="31"/>
  <c r="D531" i="34" s="1"/>
  <c r="I38" i="31"/>
  <c r="D529" i="34" s="1"/>
  <c r="L38" i="31"/>
  <c r="D532" i="34" s="1"/>
  <c r="J38" i="31"/>
  <c r="D530" i="34" s="1"/>
  <c r="H720" i="24"/>
  <c r="E720" i="24" s="1"/>
  <c r="AM169" i="24"/>
  <c r="AJ730" i="24"/>
  <c r="U730" i="24"/>
  <c r="AA730" i="24" s="1"/>
  <c r="AI731" i="24" s="1"/>
  <c r="K720" i="24"/>
  <c r="AG720" i="24" s="1"/>
  <c r="AK730" i="24"/>
  <c r="AG730" i="24"/>
  <c r="H730" i="24"/>
  <c r="K737" i="24"/>
  <c r="AK741" i="24" s="1"/>
  <c r="H737" i="24"/>
  <c r="D737" i="24" s="1"/>
  <c r="U756" i="24"/>
  <c r="AI756" i="24" s="1"/>
  <c r="D759" i="24"/>
  <c r="E759" i="24"/>
  <c r="AM760" i="24"/>
  <c r="R760" i="24"/>
  <c r="Y760" i="24" s="1"/>
  <c r="AH756" i="24"/>
  <c r="AL760" i="24"/>
  <c r="AH760" i="24"/>
  <c r="H756" i="24"/>
  <c r="K756" i="24"/>
  <c r="U737" i="24"/>
  <c r="AI735" i="24"/>
  <c r="R737" i="24"/>
  <c r="AH735" i="24"/>
  <c r="D740" i="24"/>
  <c r="E740" i="24"/>
  <c r="H717" i="24"/>
  <c r="E717" i="24" s="1"/>
  <c r="K698" i="24"/>
  <c r="AG702" i="24" s="1"/>
  <c r="U698" i="24"/>
  <c r="AI696" i="24"/>
  <c r="H698" i="24"/>
  <c r="D701" i="24"/>
  <c r="E701" i="24"/>
  <c r="R698" i="24"/>
  <c r="AH696" i="24"/>
  <c r="K717" i="24"/>
  <c r="AO730" i="24"/>
  <c r="AI730" i="24"/>
  <c r="AN730" i="24"/>
  <c r="K730" i="24"/>
  <c r="W730" i="24" s="1"/>
  <c r="AN717" i="24"/>
  <c r="U717" i="24"/>
  <c r="AI715" i="24"/>
  <c r="AH730" i="24"/>
  <c r="R730" i="24"/>
  <c r="Y730" i="24" s="1"/>
  <c r="U720" i="24"/>
  <c r="AI720" i="24" s="1"/>
  <c r="AI718" i="24"/>
  <c r="AL730" i="24"/>
  <c r="R717" i="24"/>
  <c r="AH715" i="24"/>
  <c r="AH718" i="24"/>
  <c r="R720" i="24"/>
  <c r="AH720" i="24" s="1"/>
  <c r="AM730" i="24"/>
  <c r="AH689" i="24"/>
  <c r="AM691" i="24"/>
  <c r="R691" i="24"/>
  <c r="Y691" i="24" s="1"/>
  <c r="AL691" i="24"/>
  <c r="AH691" i="24"/>
  <c r="AO691" i="24"/>
  <c r="U691" i="24"/>
  <c r="AA691" i="24" s="1"/>
  <c r="AN691" i="24"/>
  <c r="AI689" i="24"/>
  <c r="AI691" i="24" s="1"/>
  <c r="AN53" i="24"/>
  <c r="AM248" i="24"/>
  <c r="AK362" i="24"/>
  <c r="AO362" i="24"/>
  <c r="AK381" i="24"/>
  <c r="AO381" i="24"/>
  <c r="AM172" i="24"/>
  <c r="AJ95" i="24"/>
  <c r="AN95" i="24"/>
  <c r="AJ133" i="24"/>
  <c r="AN133" i="24"/>
  <c r="AL172" i="24"/>
  <c r="AL321" i="24"/>
  <c r="AM618" i="24"/>
  <c r="AJ381" i="24"/>
  <c r="AN381" i="24"/>
  <c r="AL440" i="24"/>
  <c r="AJ440" i="24"/>
  <c r="AN440" i="24"/>
  <c r="AJ497" i="24"/>
  <c r="AN497" i="24"/>
  <c r="AL516" i="24"/>
  <c r="AK153" i="24"/>
  <c r="AO153" i="24"/>
  <c r="AK400" i="24"/>
  <c r="AO400" i="24"/>
  <c r="AK417" i="24"/>
  <c r="AK459" i="24"/>
  <c r="AO459" i="24"/>
  <c r="AM459" i="24"/>
  <c r="AK497" i="24"/>
  <c r="AO497" i="24"/>
  <c r="AM497" i="24"/>
  <c r="AM516" i="24"/>
  <c r="AJ578" i="24"/>
  <c r="AN578" i="24"/>
  <c r="AL578" i="24"/>
  <c r="AJ598" i="24"/>
  <c r="AN598" i="24"/>
  <c r="AK56" i="24"/>
  <c r="AO56" i="24"/>
  <c r="AK76" i="24"/>
  <c r="AO76" i="24"/>
  <c r="AK95" i="24"/>
  <c r="AO95" i="24"/>
  <c r="AK133" i="24"/>
  <c r="AO133" i="24"/>
  <c r="AM133" i="24"/>
  <c r="AK248" i="24"/>
  <c r="AO248" i="24"/>
  <c r="AM362" i="24"/>
  <c r="AK440" i="24"/>
  <c r="AO440" i="24"/>
  <c r="AN153" i="24"/>
  <c r="AJ400" i="24"/>
  <c r="AN400" i="24"/>
  <c r="AL56" i="24"/>
  <c r="H663" i="24"/>
  <c r="AL133" i="24"/>
  <c r="AN321" i="24"/>
  <c r="AK558" i="24"/>
  <c r="AO558" i="24"/>
  <c r="AM578" i="24"/>
  <c r="AM595" i="24"/>
  <c r="AM56" i="24"/>
  <c r="AO53" i="24"/>
  <c r="AN56" i="24"/>
  <c r="AM76" i="24"/>
  <c r="AM95" i="24"/>
  <c r="AJ172" i="24"/>
  <c r="AN172" i="24"/>
  <c r="AL248" i="24"/>
  <c r="AM321" i="24"/>
  <c r="AO321" i="24"/>
  <c r="AL362" i="24"/>
  <c r="AJ362" i="24"/>
  <c r="AN362" i="24"/>
  <c r="AL459" i="24"/>
  <c r="AL497" i="24"/>
  <c r="AM558" i="24"/>
  <c r="AK598" i="24"/>
  <c r="AO598" i="24"/>
  <c r="AL153" i="24"/>
  <c r="AJ417" i="24"/>
  <c r="H582" i="24"/>
  <c r="AL95" i="24"/>
  <c r="AM440" i="24"/>
  <c r="AK516" i="24"/>
  <c r="AO516" i="24"/>
  <c r="AJ558" i="24"/>
  <c r="AN558" i="24"/>
  <c r="AL598" i="24"/>
  <c r="AM153" i="24"/>
  <c r="AL76" i="24"/>
  <c r="H602" i="24"/>
  <c r="AJ76" i="24"/>
  <c r="AN76" i="24"/>
  <c r="AK172" i="24"/>
  <c r="AO172" i="24"/>
  <c r="AJ248" i="24"/>
  <c r="AN248" i="24"/>
  <c r="AJ459" i="24"/>
  <c r="AN459" i="24"/>
  <c r="AM381" i="24"/>
  <c r="AL381" i="24"/>
  <c r="AK555" i="24"/>
  <c r="AJ575" i="24"/>
  <c r="AL595" i="24"/>
  <c r="AK618" i="24"/>
  <c r="AO618" i="24"/>
  <c r="AM598" i="24"/>
  <c r="AK575" i="24"/>
  <c r="AL618" i="24"/>
  <c r="AL400" i="24"/>
  <c r="AJ516" i="24"/>
  <c r="AN516" i="24"/>
  <c r="AJ555" i="24"/>
  <c r="AL558" i="24"/>
  <c r="AM575" i="24"/>
  <c r="AK578" i="24"/>
  <c r="AO578" i="24"/>
  <c r="AK615" i="24"/>
  <c r="AJ618" i="24"/>
  <c r="AN618" i="24"/>
  <c r="AM400" i="24"/>
  <c r="B403" i="34"/>
  <c r="B404" i="34"/>
  <c r="B405" i="34"/>
  <c r="B406" i="34"/>
  <c r="B407" i="34"/>
  <c r="B408" i="34"/>
  <c r="B409" i="34"/>
  <c r="B410" i="34"/>
  <c r="B402" i="34"/>
  <c r="B400" i="34"/>
  <c r="B399" i="34"/>
  <c r="B338" i="15"/>
  <c r="B278" i="15"/>
  <c r="B272" i="15"/>
  <c r="B218" i="15"/>
  <c r="B126" i="15"/>
  <c r="B124" i="15"/>
  <c r="B26" i="17"/>
  <c r="V82" i="19"/>
  <c r="D543" i="24" s="1"/>
  <c r="U82" i="19"/>
  <c r="C543" i="24" s="1"/>
  <c r="V81" i="19"/>
  <c r="D542" i="24" s="1"/>
  <c r="U81" i="19"/>
  <c r="C542" i="24" s="1"/>
  <c r="P73" i="19"/>
  <c r="D480" i="24" s="1"/>
  <c r="P70" i="19"/>
  <c r="D461" i="24" s="1"/>
  <c r="O70" i="19"/>
  <c r="C461" i="24" s="1"/>
  <c r="J28" i="19"/>
  <c r="D189" i="24" s="1"/>
  <c r="D82" i="19"/>
  <c r="D531" i="24" s="1"/>
  <c r="D81" i="19"/>
  <c r="D530" i="24" s="1"/>
  <c r="I82" i="19"/>
  <c r="C534" i="24" s="1"/>
  <c r="J82" i="19"/>
  <c r="D534" i="24" s="1"/>
  <c r="J81" i="19"/>
  <c r="D533" i="24" s="1"/>
  <c r="I81" i="19"/>
  <c r="C533" i="24" s="1"/>
  <c r="P408" i="15"/>
  <c r="B414" i="15" s="1"/>
  <c r="P372" i="15"/>
  <c r="F41" i="33" s="1"/>
  <c r="P338" i="15"/>
  <c r="P330" i="15"/>
  <c r="B336" i="15" s="1"/>
  <c r="B170" i="15"/>
  <c r="B166" i="15"/>
  <c r="B165" i="15"/>
  <c r="A364" i="24" l="1"/>
  <c r="AM364" i="24" s="1"/>
  <c r="A420" i="24"/>
  <c r="A209" i="24"/>
  <c r="AN364" i="24"/>
  <c r="AJ364" i="24"/>
  <c r="AK364" i="24"/>
  <c r="E737" i="24"/>
  <c r="AK721" i="24"/>
  <c r="D720" i="24"/>
  <c r="H741" i="24"/>
  <c r="K702" i="24"/>
  <c r="W702" i="24" s="1"/>
  <c r="AN731" i="24"/>
  <c r="AO731" i="24"/>
  <c r="AN760" i="24"/>
  <c r="K721" i="24"/>
  <c r="AO760" i="24"/>
  <c r="AJ741" i="24"/>
  <c r="AG698" i="24"/>
  <c r="AI760" i="24"/>
  <c r="U760" i="24"/>
  <c r="AA760" i="24" s="1"/>
  <c r="AB769" i="24" s="1"/>
  <c r="AF769" i="24" s="1"/>
  <c r="AV45" i="24" s="1"/>
  <c r="AJ702" i="24"/>
  <c r="AG737" i="24"/>
  <c r="AG741" i="24"/>
  <c r="AK702" i="24"/>
  <c r="K741" i="24"/>
  <c r="AG717" i="24"/>
  <c r="D717" i="24"/>
  <c r="H721" i="24"/>
  <c r="E721" i="24" s="1"/>
  <c r="AG721" i="24"/>
  <c r="E756" i="24"/>
  <c r="D756" i="24"/>
  <c r="AK760" i="24"/>
  <c r="AG760" i="24"/>
  <c r="H760" i="24"/>
  <c r="E760" i="24" s="1"/>
  <c r="AJ760" i="24"/>
  <c r="K760" i="24"/>
  <c r="AG756" i="24"/>
  <c r="AO741" i="24"/>
  <c r="AN741" i="24"/>
  <c r="U741" i="24"/>
  <c r="AA741" i="24" s="1"/>
  <c r="AB750" i="24" s="1"/>
  <c r="AF750" i="24" s="1"/>
  <c r="AV44" i="24" s="1"/>
  <c r="AI737" i="24"/>
  <c r="AI741" i="24"/>
  <c r="AM741" i="24"/>
  <c r="R741" i="24"/>
  <c r="Y741" i="24" s="1"/>
  <c r="AH737" i="24"/>
  <c r="AL741" i="24"/>
  <c r="AH741" i="24"/>
  <c r="AJ721" i="24"/>
  <c r="E698" i="24"/>
  <c r="D698" i="24"/>
  <c r="AH702" i="24"/>
  <c r="AM702" i="24"/>
  <c r="R702" i="24"/>
  <c r="Y702" i="24" s="1"/>
  <c r="AH698" i="24"/>
  <c r="AL702" i="24"/>
  <c r="H702" i="24"/>
  <c r="AO702" i="24"/>
  <c r="AN702" i="24"/>
  <c r="U702" i="24"/>
  <c r="AA702" i="24" s="1"/>
  <c r="AB711" i="24" s="1"/>
  <c r="AF711" i="24" s="1"/>
  <c r="AV42" i="24" s="1"/>
  <c r="AI698" i="24"/>
  <c r="AI702" i="24"/>
  <c r="W721" i="24"/>
  <c r="AM721" i="24"/>
  <c r="R721" i="24"/>
  <c r="Y721" i="24" s="1"/>
  <c r="AL721" i="24"/>
  <c r="AH721" i="24"/>
  <c r="AH717" i="24"/>
  <c r="AI721" i="24"/>
  <c r="AI717" i="24"/>
  <c r="AO721" i="24"/>
  <c r="AN721" i="24"/>
  <c r="U721" i="24"/>
  <c r="AA721" i="24" s="1"/>
  <c r="AB731" i="24" s="1"/>
  <c r="AF731" i="24" s="1"/>
  <c r="AV43" i="24" s="1"/>
  <c r="B337" i="15"/>
  <c r="P311" i="15"/>
  <c r="Q31" i="19" s="1"/>
  <c r="F212" i="24" s="1"/>
  <c r="P312" i="15"/>
  <c r="Q25" i="19" s="1"/>
  <c r="F174" i="24" s="1"/>
  <c r="P271" i="15"/>
  <c r="Q104" i="19" s="1"/>
  <c r="F724" i="24" s="1"/>
  <c r="P110" i="15"/>
  <c r="R110" i="15"/>
  <c r="D110" i="15"/>
  <c r="C110" i="15"/>
  <c r="B110" i="15"/>
  <c r="B83" i="34" s="1"/>
  <c r="A110" i="15"/>
  <c r="Q49" i="14"/>
  <c r="P49" i="14"/>
  <c r="X400" i="15"/>
  <c r="X262" i="15"/>
  <c r="P402" i="15"/>
  <c r="C402" i="15"/>
  <c r="D402" i="15"/>
  <c r="O401" i="15"/>
  <c r="N401" i="15"/>
  <c r="M401" i="15"/>
  <c r="L401" i="15"/>
  <c r="K401" i="15"/>
  <c r="J401" i="15"/>
  <c r="I401" i="15"/>
  <c r="H401" i="15"/>
  <c r="G401" i="15"/>
  <c r="F401" i="15"/>
  <c r="E401" i="15"/>
  <c r="G403" i="15"/>
  <c r="F403" i="15"/>
  <c r="E403" i="15"/>
  <c r="A404" i="15"/>
  <c r="A405" i="15"/>
  <c r="A402" i="15"/>
  <c r="P414" i="15"/>
  <c r="E22" i="42" s="1"/>
  <c r="P415" i="15"/>
  <c r="E23" i="42" s="1"/>
  <c r="P416" i="15"/>
  <c r="P417" i="15"/>
  <c r="P418" i="15"/>
  <c r="P419" i="15"/>
  <c r="P420" i="15"/>
  <c r="P421" i="15"/>
  <c r="P422" i="15"/>
  <c r="P423" i="15"/>
  <c r="E32" i="42" s="1"/>
  <c r="P424" i="15"/>
  <c r="P425" i="15"/>
  <c r="P426" i="15"/>
  <c r="R402" i="15"/>
  <c r="C304" i="15"/>
  <c r="E74" i="15"/>
  <c r="D14" i="19"/>
  <c r="D90" i="24" s="1"/>
  <c r="C14" i="19"/>
  <c r="C90" i="24" s="1"/>
  <c r="C16" i="19"/>
  <c r="C109" i="24" s="1"/>
  <c r="D16" i="19"/>
  <c r="D109" i="24" s="1"/>
  <c r="E459" i="15"/>
  <c r="P459" i="15" s="1"/>
  <c r="E460" i="15"/>
  <c r="P460" i="15" s="1"/>
  <c r="E461" i="15"/>
  <c r="P461" i="15" s="1"/>
  <c r="E462" i="15"/>
  <c r="P462" i="15" s="1"/>
  <c r="E463" i="15"/>
  <c r="P463" i="15" s="1"/>
  <c r="E464" i="15"/>
  <c r="P464" i="15" s="1"/>
  <c r="E465" i="15"/>
  <c r="P465" i="15" s="1"/>
  <c r="E466" i="15"/>
  <c r="P466" i="15" s="1"/>
  <c r="E458" i="15"/>
  <c r="P458" i="15" s="1"/>
  <c r="P404" i="15"/>
  <c r="P357" i="15"/>
  <c r="D15" i="33" s="1"/>
  <c r="C630" i="34" s="1"/>
  <c r="P358" i="15"/>
  <c r="D16" i="33" s="1"/>
  <c r="C631" i="34" s="1"/>
  <c r="P359" i="15"/>
  <c r="D17" i="33" s="1"/>
  <c r="C632" i="34" s="1"/>
  <c r="P360" i="15"/>
  <c r="D18" i="33" s="1"/>
  <c r="C633" i="34" s="1"/>
  <c r="P362" i="15"/>
  <c r="P364" i="15"/>
  <c r="P366" i="15"/>
  <c r="P356" i="15"/>
  <c r="D14" i="33" s="1"/>
  <c r="P342" i="15"/>
  <c r="B357" i="15" s="1"/>
  <c r="B312" i="34" s="1"/>
  <c r="P343" i="15"/>
  <c r="B358" i="15" s="1"/>
  <c r="B313" i="34" s="1"/>
  <c r="P344" i="15"/>
  <c r="B359" i="15" s="1"/>
  <c r="B314" i="34" s="1"/>
  <c r="P345" i="15"/>
  <c r="B360" i="15" s="1"/>
  <c r="B315" i="34" s="1"/>
  <c r="P347" i="15"/>
  <c r="P349" i="15"/>
  <c r="P351" i="15"/>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B180" i="15"/>
  <c r="B161" i="34" s="1"/>
  <c r="B148" i="34"/>
  <c r="C155" i="15"/>
  <c r="C156" i="15"/>
  <c r="C157" i="15"/>
  <c r="C154" i="15"/>
  <c r="P42" i="15"/>
  <c r="P150" i="15"/>
  <c r="M37" i="44" s="1"/>
  <c r="P151" i="15"/>
  <c r="M34" i="44" s="1"/>
  <c r="P112" i="15"/>
  <c r="B104" i="15"/>
  <c r="B54" i="34" s="1"/>
  <c r="P93" i="15"/>
  <c r="B58" i="15"/>
  <c r="B17" i="34" s="1"/>
  <c r="B18" i="34" s="1"/>
  <c r="B19" i="34" s="1"/>
  <c r="B20" i="34" s="1"/>
  <c r="B21" i="34" s="1"/>
  <c r="B22" i="34" s="1"/>
  <c r="E73" i="15"/>
  <c r="E61" i="15"/>
  <c r="E62" i="15"/>
  <c r="E63" i="15"/>
  <c r="E64" i="15"/>
  <c r="E65" i="15"/>
  <c r="E60" i="15"/>
  <c r="P11" i="15"/>
  <c r="E12" i="15" s="1"/>
  <c r="P3" i="15"/>
  <c r="B11" i="15" s="1"/>
  <c r="B5" i="34" s="1"/>
  <c r="C209" i="15"/>
  <c r="R208" i="15"/>
  <c r="A209" i="15"/>
  <c r="B27" i="17"/>
  <c r="E132" i="15"/>
  <c r="P132" i="15" s="1"/>
  <c r="AO364" i="24" l="1"/>
  <c r="D278" i="15"/>
  <c r="R11" i="19" s="1"/>
  <c r="G78" i="24" s="1"/>
  <c r="AL78" i="24" s="1"/>
  <c r="AL364" i="24"/>
  <c r="K73" i="19"/>
  <c r="F476" i="24" s="1"/>
  <c r="E37" i="42"/>
  <c r="K49" i="19"/>
  <c r="F322" i="24" s="1"/>
  <c r="E31" i="42"/>
  <c r="K63" i="19"/>
  <c r="F418" i="24" s="1"/>
  <c r="E30" i="42"/>
  <c r="AM78" i="24"/>
  <c r="AO78" i="24"/>
  <c r="AK78" i="24"/>
  <c r="AN78" i="24"/>
  <c r="AJ78" i="24"/>
  <c r="K52" i="19"/>
  <c r="F341" i="24" s="1"/>
  <c r="E29" i="42"/>
  <c r="AM209" i="24"/>
  <c r="AL209" i="24"/>
  <c r="AO209" i="24"/>
  <c r="AK209" i="24"/>
  <c r="AN209" i="24"/>
  <c r="AJ209" i="24"/>
  <c r="AN420" i="24"/>
  <c r="AJ420" i="24"/>
  <c r="AM420" i="24"/>
  <c r="AL420" i="24"/>
  <c r="AO420" i="24"/>
  <c r="AK420" i="24"/>
  <c r="G29" i="39"/>
  <c r="H29" i="39" s="1"/>
  <c r="E35" i="42"/>
  <c r="K40" i="19"/>
  <c r="F265" i="24" s="1"/>
  <c r="E34" i="42"/>
  <c r="G31" i="39"/>
  <c r="H31" i="39" s="1"/>
  <c r="E28" i="42"/>
  <c r="K46" i="19"/>
  <c r="F303" i="24" s="1"/>
  <c r="E27" i="42"/>
  <c r="K43" i="19"/>
  <c r="F284" i="24" s="1"/>
  <c r="E26" i="42"/>
  <c r="K34" i="19"/>
  <c r="F227" i="24" s="1"/>
  <c r="E24" i="42"/>
  <c r="K81" i="19"/>
  <c r="F533" i="24" s="1"/>
  <c r="E15" i="42"/>
  <c r="G13" i="39"/>
  <c r="H13" i="39" s="1"/>
  <c r="B113" i="15"/>
  <c r="E741" i="24"/>
  <c r="R724" i="24"/>
  <c r="AH724" i="24" s="1"/>
  <c r="H724" i="24"/>
  <c r="K724" i="24"/>
  <c r="K31" i="19"/>
  <c r="F208" i="24" s="1"/>
  <c r="K64" i="19"/>
  <c r="F419" i="24" s="1"/>
  <c r="K32" i="19"/>
  <c r="F209" i="24" s="1"/>
  <c r="K65" i="19"/>
  <c r="F420" i="24" s="1"/>
  <c r="W59" i="19"/>
  <c r="F408" i="24" s="1"/>
  <c r="W70" i="19"/>
  <c r="F466" i="24" s="1"/>
  <c r="AO769" i="24"/>
  <c r="AN769" i="24"/>
  <c r="AI769" i="24"/>
  <c r="AO750" i="24"/>
  <c r="AN750" i="24"/>
  <c r="AI750" i="24"/>
  <c r="AO711" i="24"/>
  <c r="AN711" i="24"/>
  <c r="AI711" i="24"/>
  <c r="W741" i="24"/>
  <c r="W760" i="24"/>
  <c r="E702" i="24"/>
  <c r="AC702" i="24"/>
  <c r="AC721" i="24"/>
  <c r="C629" i="34"/>
  <c r="D21" i="33"/>
  <c r="B362" i="15"/>
  <c r="B316" i="34" s="1"/>
  <c r="B366" i="15"/>
  <c r="B318" i="34" s="1"/>
  <c r="D23" i="33"/>
  <c r="D22" i="33"/>
  <c r="B186" i="34"/>
  <c r="B112" i="15"/>
  <c r="B298" i="15"/>
  <c r="B296" i="15"/>
  <c r="B297" i="15"/>
  <c r="B364" i="15"/>
  <c r="B317" i="34" s="1"/>
  <c r="B387" i="15"/>
  <c r="B339" i="34" s="1"/>
  <c r="B190" i="15"/>
  <c r="B416" i="15"/>
  <c r="B157" i="15"/>
  <c r="B156" i="15"/>
  <c r="B311" i="34"/>
  <c r="Q110" i="15"/>
  <c r="B187" i="34"/>
  <c r="D404" i="15"/>
  <c r="E6" i="15"/>
  <c r="B12" i="15"/>
  <c r="B13" i="15"/>
  <c r="B14" i="15"/>
  <c r="D112" i="15"/>
  <c r="F13" i="39" s="1"/>
  <c r="E350" i="15"/>
  <c r="E349" i="15"/>
  <c r="E347" i="15"/>
  <c r="E351" i="15"/>
  <c r="E348" i="15"/>
  <c r="E352" i="15"/>
  <c r="E362" i="15"/>
  <c r="E363" i="15"/>
  <c r="E412" i="15"/>
  <c r="E411" i="15"/>
  <c r="E409" i="15"/>
  <c r="E410" i="15"/>
  <c r="E413" i="15"/>
  <c r="E22" i="33"/>
  <c r="E16" i="33"/>
  <c r="E21" i="33"/>
  <c r="E15" i="33"/>
  <c r="E14" i="33"/>
  <c r="F14" i="33" s="1"/>
  <c r="E18" i="33"/>
  <c r="E23" i="33"/>
  <c r="E17" i="33"/>
  <c r="Q402" i="15"/>
  <c r="E361" i="34" s="1"/>
  <c r="P457" i="15"/>
  <c r="E402" i="34" s="1"/>
  <c r="B285" i="15"/>
  <c r="B247" i="15"/>
  <c r="D50" i="41" s="1"/>
  <c r="G50" i="41" s="1"/>
  <c r="E4" i="15"/>
  <c r="P84" i="15"/>
  <c r="P60" i="15"/>
  <c r="P64" i="15"/>
  <c r="P65" i="15"/>
  <c r="P77" i="15"/>
  <c r="AY12" i="14"/>
  <c r="H50" i="41" l="1"/>
  <c r="J50" i="41"/>
  <c r="B220" i="45" s="1"/>
  <c r="I50" i="41"/>
  <c r="B173" i="45" s="1"/>
  <c r="L632" i="34"/>
  <c r="L630" i="34"/>
  <c r="L634" i="34"/>
  <c r="A224" i="24"/>
  <c r="AJ224" i="24" s="1"/>
  <c r="D24" i="41"/>
  <c r="A227" i="24"/>
  <c r="AN227" i="24" s="1"/>
  <c r="E24" i="41"/>
  <c r="B218" i="34"/>
  <c r="A225" i="24"/>
  <c r="AO227" i="24"/>
  <c r="B272" i="34"/>
  <c r="A307" i="24"/>
  <c r="B271" i="34"/>
  <c r="A289" i="24"/>
  <c r="B262" i="34"/>
  <c r="A231" i="24"/>
  <c r="B273" i="34"/>
  <c r="A308" i="24"/>
  <c r="L81" i="19"/>
  <c r="G533" i="24" s="1"/>
  <c r="H533" i="24" s="1"/>
  <c r="D15" i="42"/>
  <c r="AC741" i="24"/>
  <c r="AG724" i="24"/>
  <c r="B84" i="34"/>
  <c r="C13" i="39"/>
  <c r="B171" i="34"/>
  <c r="C18" i="31"/>
  <c r="AC760" i="24"/>
  <c r="E83" i="34"/>
  <c r="Q50" i="14"/>
  <c r="F15" i="33"/>
  <c r="F22" i="33"/>
  <c r="F23" i="33"/>
  <c r="F18" i="33"/>
  <c r="F21" i="33"/>
  <c r="F17" i="33"/>
  <c r="F16" i="33"/>
  <c r="P405" i="15"/>
  <c r="E16" i="42" s="1"/>
  <c r="P406" i="15"/>
  <c r="P407" i="15"/>
  <c r="P451" i="15"/>
  <c r="E452" i="15" s="1"/>
  <c r="P442" i="15"/>
  <c r="P436" i="15"/>
  <c r="E438" i="15" s="1"/>
  <c r="P429" i="15"/>
  <c r="E433" i="15" s="1"/>
  <c r="P394" i="15"/>
  <c r="E397" i="15" s="1"/>
  <c r="P387" i="15"/>
  <c r="E391" i="15" s="1"/>
  <c r="P371" i="15"/>
  <c r="P337" i="15"/>
  <c r="E23" i="20" s="1"/>
  <c r="P336" i="15"/>
  <c r="P328" i="15"/>
  <c r="Q70" i="19" s="1"/>
  <c r="F461" i="24" s="1"/>
  <c r="P329" i="15"/>
  <c r="Q52" i="19" s="1"/>
  <c r="F346" i="24" s="1"/>
  <c r="P322" i="15"/>
  <c r="Q108" i="19" s="1"/>
  <c r="F761" i="24" s="1"/>
  <c r="P323" i="15"/>
  <c r="Q109" i="19" s="1"/>
  <c r="F762" i="24" s="1"/>
  <c r="P324" i="15"/>
  <c r="Q75" i="19" s="1"/>
  <c r="F499" i="24" s="1"/>
  <c r="P325" i="15"/>
  <c r="Q61" i="19" s="1"/>
  <c r="F404" i="24" s="1"/>
  <c r="P326" i="15"/>
  <c r="Q73" i="19" s="1"/>
  <c r="F480" i="24" s="1"/>
  <c r="P327" i="15"/>
  <c r="Q67" i="19" s="1"/>
  <c r="F442" i="24" s="1"/>
  <c r="P321" i="15"/>
  <c r="Q49" i="19" s="1"/>
  <c r="F326" i="24" s="1"/>
  <c r="P320" i="15"/>
  <c r="Q26" i="19" s="1"/>
  <c r="F175" i="24" s="1"/>
  <c r="P313" i="15"/>
  <c r="E41" i="33" s="1"/>
  <c r="G34" i="33" s="1"/>
  <c r="G650" i="34" s="1"/>
  <c r="P297" i="15"/>
  <c r="Q46" i="19" s="1"/>
  <c r="F307" i="24" s="1"/>
  <c r="P298" i="15"/>
  <c r="Q47" i="19" s="1"/>
  <c r="F308" i="24" s="1"/>
  <c r="P299" i="15"/>
  <c r="Q51" i="19" s="1"/>
  <c r="F345" i="24" s="1"/>
  <c r="P300" i="15"/>
  <c r="P301" i="15"/>
  <c r="P302" i="15"/>
  <c r="G17" i="39" s="1"/>
  <c r="N17" i="39" s="1"/>
  <c r="P303" i="15"/>
  <c r="Q78" i="19" s="1"/>
  <c r="F519" i="24" s="1"/>
  <c r="P304" i="15"/>
  <c r="Q56" i="19" s="1"/>
  <c r="F383" i="24" s="1"/>
  <c r="P305" i="15"/>
  <c r="Q18" i="19" s="1"/>
  <c r="F135" i="24" s="1"/>
  <c r="P306" i="15"/>
  <c r="G18" i="39" s="1"/>
  <c r="H18" i="39" s="1"/>
  <c r="P307" i="15"/>
  <c r="Q82" i="19" s="1"/>
  <c r="F538" i="24" s="1"/>
  <c r="P308" i="15"/>
  <c r="Q59" i="19" s="1"/>
  <c r="F402" i="24" s="1"/>
  <c r="P309" i="15"/>
  <c r="Q83" i="19" s="1"/>
  <c r="F539" i="24" s="1"/>
  <c r="P310" i="15"/>
  <c r="Q29" i="19" s="1"/>
  <c r="F194" i="24" s="1"/>
  <c r="P296" i="15"/>
  <c r="Q44" i="19" s="1"/>
  <c r="F289" i="24" s="1"/>
  <c r="P294" i="15"/>
  <c r="F132" i="44" s="1"/>
  <c r="G132" i="44" s="1"/>
  <c r="P292" i="15"/>
  <c r="P288" i="15"/>
  <c r="P289" i="15"/>
  <c r="Q60" i="19" s="1"/>
  <c r="F403" i="24" s="1"/>
  <c r="P290" i="15"/>
  <c r="Q43" i="19" s="1"/>
  <c r="F288" i="24" s="1"/>
  <c r="P279" i="15"/>
  <c r="Q14" i="19" s="1"/>
  <c r="F97" i="24" s="1"/>
  <c r="P280" i="15"/>
  <c r="Q16" i="19" s="1"/>
  <c r="F116" i="24" s="1"/>
  <c r="P281" i="15"/>
  <c r="Q21" i="19" s="1"/>
  <c r="F155" i="24" s="1"/>
  <c r="P282" i="15"/>
  <c r="Q81" i="19" s="1"/>
  <c r="F537" i="24" s="1"/>
  <c r="P283" i="15"/>
  <c r="Q100" i="19" s="1"/>
  <c r="F703" i="24" s="1"/>
  <c r="P284" i="15"/>
  <c r="Q28" i="19" s="1"/>
  <c r="F193" i="24" s="1"/>
  <c r="P285" i="15"/>
  <c r="Q34" i="19" s="1"/>
  <c r="F231" i="24" s="1"/>
  <c r="P286" i="15"/>
  <c r="Q37" i="19" s="1"/>
  <c r="F250" i="24" s="1"/>
  <c r="P287" i="15"/>
  <c r="Q38" i="19" s="1"/>
  <c r="F251" i="24" s="1"/>
  <c r="P278" i="15"/>
  <c r="Q11" i="19" s="1"/>
  <c r="F78" i="24" s="1"/>
  <c r="P276" i="15"/>
  <c r="F142" i="44" s="1"/>
  <c r="G142" i="44" s="1"/>
  <c r="P268" i="15"/>
  <c r="Q9" i="19" s="1"/>
  <c r="F59" i="24" s="1"/>
  <c r="P269" i="15"/>
  <c r="P270" i="15"/>
  <c r="Q103" i="19" s="1"/>
  <c r="F723" i="24" s="1"/>
  <c r="P272" i="15"/>
  <c r="Q106" i="19" s="1"/>
  <c r="F742" i="24" s="1"/>
  <c r="P267" i="15"/>
  <c r="Q8" i="19" s="1"/>
  <c r="F58" i="24" s="1"/>
  <c r="P264" i="15"/>
  <c r="H29" i="20" s="1"/>
  <c r="P265" i="15"/>
  <c r="P263" i="15"/>
  <c r="H17" i="20" s="1"/>
  <c r="E253" i="15"/>
  <c r="P253" i="15" s="1"/>
  <c r="E254" i="15"/>
  <c r="P254" i="15" s="1"/>
  <c r="E255" i="15"/>
  <c r="P255" i="15" s="1"/>
  <c r="E256" i="15"/>
  <c r="P256" i="15" s="1"/>
  <c r="E257" i="15"/>
  <c r="P257" i="15" s="1"/>
  <c r="E252" i="15"/>
  <c r="P252" i="15" s="1"/>
  <c r="P244" i="15"/>
  <c r="P245" i="15"/>
  <c r="P246" i="15"/>
  <c r="F34" i="44" s="1"/>
  <c r="P247" i="15"/>
  <c r="E35" i="19" s="1"/>
  <c r="F225" i="24" s="1"/>
  <c r="P248" i="15"/>
  <c r="F33" i="44" s="1"/>
  <c r="AC117" i="44" s="1"/>
  <c r="P249" i="15"/>
  <c r="F36" i="44" s="1"/>
  <c r="G36" i="44" s="1"/>
  <c r="P250" i="15"/>
  <c r="E75" i="19" s="1"/>
  <c r="F492" i="24" s="1"/>
  <c r="P243" i="15"/>
  <c r="F19" i="44" s="1"/>
  <c r="E239" i="15"/>
  <c r="P239" i="15" s="1"/>
  <c r="E240" i="15"/>
  <c r="P240" i="15" s="1"/>
  <c r="E241" i="15"/>
  <c r="P241" i="15" s="1"/>
  <c r="E238" i="15"/>
  <c r="P238" i="15" s="1"/>
  <c r="P235" i="15"/>
  <c r="P236" i="15"/>
  <c r="F24" i="17" s="1"/>
  <c r="P234" i="15"/>
  <c r="E76" i="19" s="1"/>
  <c r="F493" i="24" s="1"/>
  <c r="P231" i="15"/>
  <c r="E231" i="15" s="1"/>
  <c r="E224" i="15"/>
  <c r="P224" i="15" s="1"/>
  <c r="E225" i="15"/>
  <c r="P225" i="15" s="1"/>
  <c r="E226" i="15"/>
  <c r="P226" i="15" s="1"/>
  <c r="E227" i="15"/>
  <c r="P227" i="15" s="1"/>
  <c r="E228" i="15"/>
  <c r="P228" i="15" s="1"/>
  <c r="E223" i="15"/>
  <c r="P223" i="15" s="1"/>
  <c r="P217" i="15"/>
  <c r="P218" i="15"/>
  <c r="F32" i="44" s="1"/>
  <c r="P219" i="15"/>
  <c r="P220" i="15"/>
  <c r="E71" i="19" s="1"/>
  <c r="F455" i="24" s="1"/>
  <c r="P221" i="15"/>
  <c r="F24" i="44" s="1"/>
  <c r="G24" i="44" s="1"/>
  <c r="P216" i="15"/>
  <c r="G28" i="39" s="1"/>
  <c r="P212" i="15"/>
  <c r="G33" i="39" s="1"/>
  <c r="H33" i="39" s="1"/>
  <c r="P171" i="15"/>
  <c r="E11" i="19" s="1"/>
  <c r="F71" i="24" s="1"/>
  <c r="P172" i="15"/>
  <c r="E12" i="19" s="1"/>
  <c r="F72" i="24" s="1"/>
  <c r="P173" i="15"/>
  <c r="E16" i="19" s="1"/>
  <c r="F109" i="24" s="1"/>
  <c r="P174" i="15"/>
  <c r="E14" i="19" s="1"/>
  <c r="F90" i="24" s="1"/>
  <c r="P175" i="15"/>
  <c r="E18" i="19" s="1"/>
  <c r="F128" i="24" s="1"/>
  <c r="P176" i="15"/>
  <c r="P177" i="15"/>
  <c r="E21" i="19" s="1"/>
  <c r="F147" i="24" s="1"/>
  <c r="K147" i="24" s="1"/>
  <c r="P178" i="15"/>
  <c r="P179" i="15"/>
  <c r="P180" i="15"/>
  <c r="F25" i="44" s="1"/>
  <c r="G25" i="44" s="1"/>
  <c r="P181" i="15"/>
  <c r="F22" i="17" s="1"/>
  <c r="P182" i="15"/>
  <c r="F23" i="44" s="1"/>
  <c r="P183" i="15"/>
  <c r="F37" i="44" s="1"/>
  <c r="P184" i="15"/>
  <c r="E73" i="19" s="1"/>
  <c r="F473" i="24" s="1"/>
  <c r="P185" i="15"/>
  <c r="F35" i="44" s="1"/>
  <c r="AC114" i="44" s="1"/>
  <c r="P186" i="15"/>
  <c r="P187" i="15"/>
  <c r="P188" i="15"/>
  <c r="P189" i="15"/>
  <c r="P190" i="15"/>
  <c r="P191" i="15"/>
  <c r="E37" i="19" s="1"/>
  <c r="F243" i="24" s="1"/>
  <c r="P192" i="15"/>
  <c r="P193" i="15"/>
  <c r="E43" i="19" s="1"/>
  <c r="F281" i="24" s="1"/>
  <c r="P194" i="15"/>
  <c r="E44" i="19" s="1"/>
  <c r="F282" i="24" s="1"/>
  <c r="P195" i="15"/>
  <c r="P196" i="15"/>
  <c r="E47" i="19" s="1"/>
  <c r="F301" i="24" s="1"/>
  <c r="P197" i="15"/>
  <c r="G24" i="39" s="1"/>
  <c r="N24" i="39" s="1"/>
  <c r="P198" i="15"/>
  <c r="E49" i="19" s="1"/>
  <c r="F319" i="24" s="1"/>
  <c r="P199" i="15"/>
  <c r="P200" i="15"/>
  <c r="P201" i="15"/>
  <c r="E51" i="19" s="1"/>
  <c r="F338" i="24" s="1"/>
  <c r="P202" i="15"/>
  <c r="E52" i="19" s="1"/>
  <c r="F339" i="24" s="1"/>
  <c r="P203" i="15"/>
  <c r="F20" i="17" s="1"/>
  <c r="P204" i="15"/>
  <c r="F21" i="17" s="1"/>
  <c r="P205" i="15"/>
  <c r="H56" i="20" s="1"/>
  <c r="P206" i="15"/>
  <c r="E98" i="19" s="1"/>
  <c r="F677" i="24" s="1"/>
  <c r="P207" i="15"/>
  <c r="F20" i="44" s="1"/>
  <c r="G20" i="44" s="1"/>
  <c r="P208" i="15"/>
  <c r="G27" i="31" s="1"/>
  <c r="H27" i="31" s="1"/>
  <c r="P209" i="15"/>
  <c r="P123" i="14" s="1"/>
  <c r="P210" i="15"/>
  <c r="P211" i="15"/>
  <c r="P170" i="15"/>
  <c r="E8" i="19" s="1"/>
  <c r="F51" i="24" s="1"/>
  <c r="P167" i="15"/>
  <c r="P166" i="15"/>
  <c r="H33" i="20" s="1"/>
  <c r="P165" i="15"/>
  <c r="H37" i="20" s="1"/>
  <c r="P163" i="15"/>
  <c r="P155" i="15"/>
  <c r="W82" i="19" s="1"/>
  <c r="F543" i="24" s="1"/>
  <c r="P156" i="15"/>
  <c r="P157" i="15"/>
  <c r="P154" i="15"/>
  <c r="D154" i="15" s="1"/>
  <c r="P152" i="15"/>
  <c r="G34" i="39" s="1"/>
  <c r="H34" i="39" s="1"/>
  <c r="P149" i="15"/>
  <c r="M33" i="44" s="1"/>
  <c r="AD117" i="44" s="1"/>
  <c r="E143" i="15"/>
  <c r="P143" i="15" s="1"/>
  <c r="E144" i="15"/>
  <c r="P144" i="15" s="1"/>
  <c r="E145" i="15"/>
  <c r="P145" i="15" s="1"/>
  <c r="E146" i="15"/>
  <c r="P146" i="15" s="1"/>
  <c r="E147" i="15"/>
  <c r="P147" i="15" s="1"/>
  <c r="E142" i="15"/>
  <c r="P142" i="15" s="1"/>
  <c r="P135" i="15"/>
  <c r="P136" i="15"/>
  <c r="M36" i="44" s="1"/>
  <c r="P137" i="15"/>
  <c r="M22" i="44" s="1"/>
  <c r="N22" i="44" s="1"/>
  <c r="AD22" i="44" s="1"/>
  <c r="P138" i="15"/>
  <c r="M20" i="44" s="1"/>
  <c r="N20" i="44" s="1"/>
  <c r="P139" i="15"/>
  <c r="M32" i="44" s="1"/>
  <c r="P140" i="15"/>
  <c r="P134" i="15"/>
  <c r="E129" i="15"/>
  <c r="P129" i="15" s="1"/>
  <c r="E130" i="15"/>
  <c r="P130" i="15" s="1"/>
  <c r="E131" i="15"/>
  <c r="P131" i="15" s="1"/>
  <c r="E128" i="15"/>
  <c r="P128" i="15" s="1"/>
  <c r="P124" i="15"/>
  <c r="M23" i="44" s="1"/>
  <c r="P125" i="15"/>
  <c r="M35" i="44" s="1"/>
  <c r="P126" i="15"/>
  <c r="M25" i="44" s="1"/>
  <c r="N25" i="44" s="1"/>
  <c r="AD25" i="44" s="1"/>
  <c r="P123" i="15"/>
  <c r="M21" i="44" s="1"/>
  <c r="E117" i="15"/>
  <c r="P117" i="15" s="1"/>
  <c r="E118" i="15"/>
  <c r="P118" i="15" s="1"/>
  <c r="E119" i="15"/>
  <c r="P119" i="15" s="1"/>
  <c r="E120" i="15"/>
  <c r="P120" i="15" s="1"/>
  <c r="E121" i="15"/>
  <c r="P121" i="15" s="1"/>
  <c r="E116" i="15"/>
  <c r="P116" i="15" s="1"/>
  <c r="P113" i="15"/>
  <c r="B114" i="15" s="1"/>
  <c r="P114" i="15"/>
  <c r="P105" i="15"/>
  <c r="F13" i="17" s="1"/>
  <c r="P106" i="15"/>
  <c r="E56" i="20" s="1"/>
  <c r="P107" i="15"/>
  <c r="F14" i="17" s="1"/>
  <c r="P104" i="15"/>
  <c r="E60" i="20" s="1"/>
  <c r="P99" i="15"/>
  <c r="E18" i="20" s="1"/>
  <c r="P100" i="15"/>
  <c r="E37" i="20" s="1"/>
  <c r="P101" i="15"/>
  <c r="G28" i="31" s="1"/>
  <c r="P102" i="15"/>
  <c r="P98" i="15"/>
  <c r="E17" i="20" s="1"/>
  <c r="P90" i="15"/>
  <c r="E81" i="15"/>
  <c r="E70" i="15"/>
  <c r="E71" i="15"/>
  <c r="P71" i="15" s="1"/>
  <c r="E72" i="15"/>
  <c r="P72" i="15" s="1"/>
  <c r="P73" i="15"/>
  <c r="P74" i="15"/>
  <c r="E69" i="15"/>
  <c r="P69" i="15" s="1"/>
  <c r="P61" i="15"/>
  <c r="P63" i="15"/>
  <c r="P57" i="15"/>
  <c r="P56" i="15"/>
  <c r="P54" i="15"/>
  <c r="B56" i="15" s="1"/>
  <c r="A654" i="24" s="1"/>
  <c r="P53" i="15"/>
  <c r="G21" i="39" s="1"/>
  <c r="N21" i="39" s="1"/>
  <c r="P46" i="15"/>
  <c r="E44" i="15"/>
  <c r="P40" i="15"/>
  <c r="P34" i="15"/>
  <c r="E36" i="15" s="1"/>
  <c r="E32" i="15"/>
  <c r="P21" i="15"/>
  <c r="G35" i="39" s="1"/>
  <c r="P16" i="15"/>
  <c r="E18" i="15" s="1"/>
  <c r="E13" i="15"/>
  <c r="P70" i="15"/>
  <c r="P293" i="15"/>
  <c r="E376" i="15"/>
  <c r="D372" i="15"/>
  <c r="D355" i="15"/>
  <c r="D340" i="15"/>
  <c r="P275" i="15"/>
  <c r="P274" i="15"/>
  <c r="P89" i="15"/>
  <c r="E85" i="15"/>
  <c r="E84" i="15"/>
  <c r="E80" i="15"/>
  <c r="E45" i="15"/>
  <c r="E43" i="15"/>
  <c r="E9" i="15"/>
  <c r="D18" i="27"/>
  <c r="D64" i="27"/>
  <c r="C64" i="27"/>
  <c r="B64" i="27"/>
  <c r="A415" i="15"/>
  <c r="A414" i="15"/>
  <c r="R414" i="15"/>
  <c r="B415" i="15" s="1"/>
  <c r="R404" i="15"/>
  <c r="A68" i="15"/>
  <c r="A69" i="15" s="1"/>
  <c r="A70" i="15" s="1"/>
  <c r="A71" i="15" s="1"/>
  <c r="A72" i="15" s="1"/>
  <c r="A73" i="15" s="1"/>
  <c r="A74" i="15" s="1"/>
  <c r="A75" i="15" s="1"/>
  <c r="R193" i="15"/>
  <c r="R25" i="44" l="1"/>
  <c r="H35" i="39"/>
  <c r="M38" i="44"/>
  <c r="F38" i="44"/>
  <c r="R20" i="44"/>
  <c r="R35" i="39"/>
  <c r="Q35" i="39"/>
  <c r="N13" i="39"/>
  <c r="F26" i="44"/>
  <c r="AC116" i="44" s="1"/>
  <c r="H60" i="20"/>
  <c r="Q54" i="19"/>
  <c r="F364" i="24" s="1"/>
  <c r="H23" i="20"/>
  <c r="AK224" i="24"/>
  <c r="AL224" i="24"/>
  <c r="AM224" i="24"/>
  <c r="AN224" i="24"/>
  <c r="F19" i="33"/>
  <c r="AO224" i="24"/>
  <c r="AK227" i="24"/>
  <c r="AL227" i="24"/>
  <c r="AM227" i="24"/>
  <c r="AJ227" i="24"/>
  <c r="G24" i="41"/>
  <c r="AC20" i="44"/>
  <c r="G25" i="39"/>
  <c r="H25" i="39" s="1"/>
  <c r="M26" i="44"/>
  <c r="E46" i="19"/>
  <c r="F300" i="24" s="1"/>
  <c r="M142" i="44"/>
  <c r="N142" i="44" s="1"/>
  <c r="G23" i="39"/>
  <c r="N23" i="39" s="1"/>
  <c r="M24" i="44"/>
  <c r="N24" i="44" s="1"/>
  <c r="AD24" i="44" s="1"/>
  <c r="G23" i="44"/>
  <c r="AC115" i="44"/>
  <c r="AD114" i="44"/>
  <c r="N35" i="44"/>
  <c r="AD35" i="44" s="1"/>
  <c r="AD119" i="44"/>
  <c r="N32" i="44"/>
  <c r="AD32" i="44" s="1"/>
  <c r="M132" i="44"/>
  <c r="N132" i="44" s="1"/>
  <c r="F22" i="44"/>
  <c r="G22" i="44" s="1"/>
  <c r="R22" i="44" s="1"/>
  <c r="F19" i="17"/>
  <c r="M134" i="44"/>
  <c r="N134" i="44" s="1"/>
  <c r="G32" i="44"/>
  <c r="AC119" i="44"/>
  <c r="AD115" i="44"/>
  <c r="N23" i="44"/>
  <c r="AD23" i="44" s="1"/>
  <c r="AD20" i="44"/>
  <c r="M19" i="44"/>
  <c r="M27" i="44" s="1"/>
  <c r="E93" i="19"/>
  <c r="F633" i="24" s="1"/>
  <c r="R633" i="24" s="1"/>
  <c r="M144" i="44"/>
  <c r="N144" i="44" s="1"/>
  <c r="F21" i="44"/>
  <c r="G21" i="44" s="1"/>
  <c r="E40" i="19"/>
  <c r="F262" i="24" s="1"/>
  <c r="M140" i="44"/>
  <c r="N140" i="44" s="1"/>
  <c r="AC25" i="44"/>
  <c r="C461" i="34" s="1"/>
  <c r="AC24" i="44"/>
  <c r="E54" i="19"/>
  <c r="F357" i="24" s="1"/>
  <c r="F146" i="44"/>
  <c r="G146" i="44" s="1"/>
  <c r="A419" i="24"/>
  <c r="A208" i="24"/>
  <c r="Q40" i="19"/>
  <c r="F269" i="24" s="1"/>
  <c r="B301" i="15"/>
  <c r="K28" i="19"/>
  <c r="F189" i="24" s="1"/>
  <c r="E20" i="42"/>
  <c r="AO231" i="24"/>
  <c r="AK231" i="24"/>
  <c r="AN231" i="24"/>
  <c r="AJ231" i="24"/>
  <c r="AM231" i="24"/>
  <c r="AL231" i="24"/>
  <c r="K16" i="19"/>
  <c r="F112" i="24" s="1"/>
  <c r="E18" i="42"/>
  <c r="AM289" i="24"/>
  <c r="AL289" i="24"/>
  <c r="AL307" i="24"/>
  <c r="AO307" i="24"/>
  <c r="AK307" i="24"/>
  <c r="AN307" i="24"/>
  <c r="AJ307" i="24"/>
  <c r="AM307" i="24"/>
  <c r="AM225" i="24"/>
  <c r="AL225" i="24"/>
  <c r="AO225" i="24"/>
  <c r="AK225" i="24"/>
  <c r="AN225" i="24"/>
  <c r="AJ225" i="24"/>
  <c r="F46" i="33"/>
  <c r="AN654" i="24"/>
  <c r="AJ654" i="24"/>
  <c r="AM654" i="24"/>
  <c r="AM656" i="24" s="1"/>
  <c r="AL654" i="24"/>
  <c r="AL656" i="24" s="1"/>
  <c r="AO654" i="24"/>
  <c r="AK654" i="24"/>
  <c r="I15" i="17"/>
  <c r="I30" i="17" s="1"/>
  <c r="S430" i="34" s="1"/>
  <c r="E40" i="15"/>
  <c r="D298" i="15" s="1"/>
  <c r="R47" i="19" s="1"/>
  <c r="G308" i="24" s="1"/>
  <c r="AM308" i="24" s="1"/>
  <c r="G22" i="39"/>
  <c r="L34" i="39"/>
  <c r="K34" i="39"/>
  <c r="H24" i="39"/>
  <c r="H28" i="39"/>
  <c r="F17" i="17"/>
  <c r="G15" i="39"/>
  <c r="W93" i="19"/>
  <c r="F645" i="24" s="1"/>
  <c r="K645" i="24" s="1"/>
  <c r="G19" i="39"/>
  <c r="F18" i="17"/>
  <c r="F23" i="17"/>
  <c r="E23" i="19"/>
  <c r="F149" i="24" s="1"/>
  <c r="K149" i="24" s="1"/>
  <c r="F27" i="17"/>
  <c r="H21" i="39"/>
  <c r="F16" i="17"/>
  <c r="G14" i="39"/>
  <c r="D210" i="15"/>
  <c r="F16" i="39" s="1"/>
  <c r="G16" i="39"/>
  <c r="H16" i="39" s="1"/>
  <c r="E22" i="19"/>
  <c r="F148" i="24" s="1"/>
  <c r="K148" i="24" s="1"/>
  <c r="AG148" i="24" s="1"/>
  <c r="F26" i="17"/>
  <c r="L33" i="39"/>
  <c r="K33" i="39"/>
  <c r="H17" i="39"/>
  <c r="K82" i="19"/>
  <c r="F534" i="24" s="1"/>
  <c r="G30" i="39"/>
  <c r="N28" i="31"/>
  <c r="H28" i="31"/>
  <c r="N27" i="31"/>
  <c r="E70" i="19"/>
  <c r="F454" i="24" s="1"/>
  <c r="E67" i="19"/>
  <c r="F435" i="24" s="1"/>
  <c r="R742" i="24"/>
  <c r="K742" i="24"/>
  <c r="H742" i="24"/>
  <c r="B250" i="15"/>
  <c r="G29" i="31"/>
  <c r="K677" i="24"/>
  <c r="R677" i="24"/>
  <c r="U677" i="24"/>
  <c r="H677" i="24"/>
  <c r="E34" i="19"/>
  <c r="F224" i="24" s="1"/>
  <c r="G18" i="31"/>
  <c r="H18" i="31" s="1"/>
  <c r="E31" i="19"/>
  <c r="F205" i="24" s="1"/>
  <c r="E28" i="19"/>
  <c r="F186" i="24" s="1"/>
  <c r="G25" i="31"/>
  <c r="H25" i="31" s="1"/>
  <c r="E79" i="19"/>
  <c r="F512" i="24" s="1"/>
  <c r="E63" i="19"/>
  <c r="F415" i="24" s="1"/>
  <c r="E82" i="19"/>
  <c r="F531" i="24" s="1"/>
  <c r="E56" i="19"/>
  <c r="F376" i="24" s="1"/>
  <c r="K723" i="24"/>
  <c r="H723" i="24"/>
  <c r="R723" i="24"/>
  <c r="Q63" i="19"/>
  <c r="F423" i="24" s="1"/>
  <c r="E87" i="19"/>
  <c r="F573" i="24" s="1"/>
  <c r="E168" i="15"/>
  <c r="G35" i="31"/>
  <c r="E89" i="19"/>
  <c r="F593" i="24" s="1"/>
  <c r="E85" i="19"/>
  <c r="F553" i="24" s="1"/>
  <c r="D181" i="15"/>
  <c r="E78" i="19"/>
  <c r="F511" i="24" s="1"/>
  <c r="E81" i="19"/>
  <c r="F530" i="24" s="1"/>
  <c r="Q102" i="19"/>
  <c r="F722" i="24" s="1"/>
  <c r="R703" i="24"/>
  <c r="K703" i="24"/>
  <c r="H703" i="24"/>
  <c r="P216" i="14"/>
  <c r="Q41" i="19"/>
  <c r="F270" i="24" s="1"/>
  <c r="R762" i="24"/>
  <c r="K762" i="24"/>
  <c r="H762" i="24"/>
  <c r="W95" i="19"/>
  <c r="F666" i="24" s="1"/>
  <c r="E95" i="19"/>
  <c r="F654" i="24" s="1"/>
  <c r="E25" i="19"/>
  <c r="F167" i="24" s="1"/>
  <c r="E19" i="19"/>
  <c r="F129" i="24" s="1"/>
  <c r="G32" i="31"/>
  <c r="E91" i="19"/>
  <c r="F613" i="24" s="1"/>
  <c r="E59" i="19"/>
  <c r="F395" i="24" s="1"/>
  <c r="R761" i="24"/>
  <c r="K761" i="24"/>
  <c r="H761" i="24"/>
  <c r="W81" i="19"/>
  <c r="F542" i="24" s="1"/>
  <c r="W63" i="19"/>
  <c r="F428" i="24" s="1"/>
  <c r="W91" i="19"/>
  <c r="F625" i="24" s="1"/>
  <c r="W78" i="19"/>
  <c r="F523" i="24" s="1"/>
  <c r="W87" i="19"/>
  <c r="F585" i="24" s="1"/>
  <c r="W89" i="19"/>
  <c r="F605" i="24" s="1"/>
  <c r="W67" i="19"/>
  <c r="F447" i="24" s="1"/>
  <c r="W49" i="19"/>
  <c r="F331" i="24" s="1"/>
  <c r="W31" i="19"/>
  <c r="F217" i="24" s="1"/>
  <c r="W25" i="19"/>
  <c r="F180" i="24" s="1"/>
  <c r="U180" i="24" s="1"/>
  <c r="W85" i="19"/>
  <c r="F565" i="24" s="1"/>
  <c r="W28" i="19"/>
  <c r="F198" i="24" s="1"/>
  <c r="E214" i="15"/>
  <c r="G36" i="31"/>
  <c r="D630" i="34"/>
  <c r="D631" i="34"/>
  <c r="D633" i="34"/>
  <c r="D632" i="34"/>
  <c r="D629" i="34"/>
  <c r="E390" i="15"/>
  <c r="E389" i="15"/>
  <c r="P80" i="14"/>
  <c r="E22" i="15"/>
  <c r="E437" i="15"/>
  <c r="P237" i="15"/>
  <c r="E210" i="34" s="1"/>
  <c r="E431" i="15"/>
  <c r="E440" i="15"/>
  <c r="E439" i="15"/>
  <c r="P251" i="15"/>
  <c r="E222" i="34" s="1"/>
  <c r="P291" i="15"/>
  <c r="E268" i="34" s="1"/>
  <c r="P141" i="15"/>
  <c r="E109" i="34" s="1"/>
  <c r="P127" i="15"/>
  <c r="E97" i="34" s="1"/>
  <c r="E445" i="15"/>
  <c r="B455" i="15"/>
  <c r="B451" i="15"/>
  <c r="B401" i="34" s="1"/>
  <c r="B452" i="15"/>
  <c r="B454" i="15"/>
  <c r="B453" i="15"/>
  <c r="B456" i="15"/>
  <c r="B194" i="15"/>
  <c r="B195" i="15"/>
  <c r="B209" i="15"/>
  <c r="B190" i="34" s="1"/>
  <c r="B320" i="15"/>
  <c r="B417" i="15"/>
  <c r="B408" i="15"/>
  <c r="B366" i="34" s="1"/>
  <c r="B404" i="15"/>
  <c r="B163" i="15"/>
  <c r="D21" i="44" s="1"/>
  <c r="B123" i="15"/>
  <c r="K21" i="44" s="1"/>
  <c r="B301" i="34"/>
  <c r="E365" i="15"/>
  <c r="E364" i="15"/>
  <c r="E367" i="15"/>
  <c r="E366" i="15"/>
  <c r="E339" i="15"/>
  <c r="E338" i="15"/>
  <c r="E398" i="15"/>
  <c r="E396" i="15"/>
  <c r="E432" i="15"/>
  <c r="E435" i="15"/>
  <c r="B402" i="15"/>
  <c r="B361" i="34" s="1"/>
  <c r="B405" i="15"/>
  <c r="A534" i="24" s="1"/>
  <c r="E377" i="15"/>
  <c r="B368" i="34"/>
  <c r="Q404" i="15"/>
  <c r="E388" i="15"/>
  <c r="E392" i="15"/>
  <c r="E455" i="15"/>
  <c r="E23" i="15"/>
  <c r="E454" i="15"/>
  <c r="E375" i="15"/>
  <c r="B394" i="15"/>
  <c r="B340" i="34" s="1"/>
  <c r="E430" i="15"/>
  <c r="E434" i="15"/>
  <c r="E453" i="15"/>
  <c r="B367" i="34"/>
  <c r="B369" i="34"/>
  <c r="B421" i="15"/>
  <c r="B424" i="15"/>
  <c r="B420" i="15"/>
  <c r="B407" i="15"/>
  <c r="B423" i="15"/>
  <c r="B419" i="15"/>
  <c r="B286" i="15"/>
  <c r="B300" i="15"/>
  <c r="E318" i="15"/>
  <c r="E334" i="15"/>
  <c r="B300" i="34"/>
  <c r="E25" i="15"/>
  <c r="E24" i="15"/>
  <c r="E167" i="15"/>
  <c r="E232" i="15"/>
  <c r="D243" i="15"/>
  <c r="E19" i="44" s="1"/>
  <c r="E448" i="15"/>
  <c r="E444" i="15"/>
  <c r="E443" i="15"/>
  <c r="P222" i="15"/>
  <c r="E200" i="34" s="1"/>
  <c r="E213" i="15"/>
  <c r="D211" i="15"/>
  <c r="E17" i="15"/>
  <c r="B191" i="15"/>
  <c r="B216" i="15"/>
  <c r="E35" i="15"/>
  <c r="E333" i="15"/>
  <c r="E447" i="15"/>
  <c r="P115" i="15"/>
  <c r="E87" i="34" s="1"/>
  <c r="E38" i="15"/>
  <c r="E446" i="15"/>
  <c r="E449" i="15"/>
  <c r="E317" i="15"/>
  <c r="E47" i="15"/>
  <c r="E49" i="15"/>
  <c r="E48" i="15"/>
  <c r="P68" i="15"/>
  <c r="E26" i="15"/>
  <c r="E55" i="15"/>
  <c r="B15" i="34"/>
  <c r="E54" i="15"/>
  <c r="P62" i="15"/>
  <c r="P59" i="15" s="1"/>
  <c r="E17" i="34" s="1"/>
  <c r="E5" i="15"/>
  <c r="E314" i="15"/>
  <c r="E332" i="15"/>
  <c r="E316" i="15"/>
  <c r="P277" i="15"/>
  <c r="P273" i="15" s="1"/>
  <c r="E251" i="34" s="1"/>
  <c r="E315" i="15"/>
  <c r="E8" i="15"/>
  <c r="P92" i="15"/>
  <c r="E330" i="15"/>
  <c r="E7" i="15"/>
  <c r="E14" i="15"/>
  <c r="E31" i="15"/>
  <c r="E37" i="15"/>
  <c r="P88" i="15"/>
  <c r="P91" i="15"/>
  <c r="E335" i="15"/>
  <c r="E331" i="15"/>
  <c r="E319" i="15"/>
  <c r="E373" i="15"/>
  <c r="E374" i="15"/>
  <c r="E30" i="15"/>
  <c r="E378" i="15"/>
  <c r="F48" i="33" s="1"/>
  <c r="E78" i="15"/>
  <c r="E79" i="15"/>
  <c r="E82" i="15"/>
  <c r="E28" i="15"/>
  <c r="E29" i="15"/>
  <c r="E251" i="15"/>
  <c r="B106" i="15"/>
  <c r="B56" i="34" s="1"/>
  <c r="S61" i="19"/>
  <c r="B404" i="24" s="1"/>
  <c r="R209" i="15"/>
  <c r="D209" i="15"/>
  <c r="R24" i="44" l="1"/>
  <c r="U38" i="44"/>
  <c r="B108" i="45" s="1"/>
  <c r="T38" i="44"/>
  <c r="B106" i="45" s="1"/>
  <c r="R32" i="44"/>
  <c r="H24" i="41"/>
  <c r="J24" i="41"/>
  <c r="B194" i="45" s="1"/>
  <c r="I24" i="41"/>
  <c r="B147" i="45" s="1"/>
  <c r="F27" i="44"/>
  <c r="R23" i="44"/>
  <c r="W30" i="44"/>
  <c r="V30" i="44"/>
  <c r="S38" i="44" s="1"/>
  <c r="B102" i="45" s="1"/>
  <c r="G26" i="44"/>
  <c r="AC26" i="44" s="1"/>
  <c r="C456" i="34"/>
  <c r="E456" i="34" s="1"/>
  <c r="AC21" i="44"/>
  <c r="H23" i="39"/>
  <c r="C31" i="39"/>
  <c r="B376" i="34"/>
  <c r="A492" i="24"/>
  <c r="AK492" i="24" s="1"/>
  <c r="D21" i="41"/>
  <c r="G21" i="41" s="1"/>
  <c r="D296" i="15"/>
  <c r="R44" i="19" s="1"/>
  <c r="G289" i="24" s="1"/>
  <c r="AN289" i="24" s="1"/>
  <c r="U633" i="24"/>
  <c r="U635" i="24" s="1"/>
  <c r="D184" i="15"/>
  <c r="D284" i="15"/>
  <c r="R28" i="19" s="1"/>
  <c r="G193" i="24" s="1"/>
  <c r="AN193" i="24" s="1"/>
  <c r="D324" i="15"/>
  <c r="R75" i="19" s="1"/>
  <c r="G499" i="24" s="1"/>
  <c r="K633" i="24"/>
  <c r="D185" i="15"/>
  <c r="E35" i="44" s="1"/>
  <c r="D311" i="15"/>
  <c r="R31" i="19" s="1"/>
  <c r="G212" i="24" s="1"/>
  <c r="D198" i="15"/>
  <c r="D267" i="15"/>
  <c r="R8" i="19" s="1"/>
  <c r="G58" i="24" s="1"/>
  <c r="AL58" i="24" s="1"/>
  <c r="D248" i="15"/>
  <c r="E33" i="44" s="1"/>
  <c r="D329" i="15"/>
  <c r="R52" i="19" s="1"/>
  <c r="G346" i="24" s="1"/>
  <c r="D135" i="15"/>
  <c r="X49" i="19" s="1"/>
  <c r="G331" i="24" s="1"/>
  <c r="H633" i="24"/>
  <c r="AI633" i="24" s="1"/>
  <c r="D461" i="34"/>
  <c r="E461" i="34"/>
  <c r="L19" i="44"/>
  <c r="A19" i="44" s="1"/>
  <c r="X81" i="19"/>
  <c r="G542" i="24" s="1"/>
  <c r="D426" i="15"/>
  <c r="L73" i="19" s="1"/>
  <c r="G476" i="24" s="1"/>
  <c r="D150" i="15"/>
  <c r="L37" i="44" s="1"/>
  <c r="D149" i="15"/>
  <c r="L33" i="44" s="1"/>
  <c r="D246" i="15"/>
  <c r="AC22" i="44"/>
  <c r="C458" i="34" s="1"/>
  <c r="AC23" i="44"/>
  <c r="C459" i="34" s="1"/>
  <c r="C460" i="34"/>
  <c r="AC32" i="44"/>
  <c r="C464" i="34" s="1"/>
  <c r="AD116" i="44"/>
  <c r="N26" i="44"/>
  <c r="AD26" i="44" s="1"/>
  <c r="G19" i="44"/>
  <c r="AC19" i="44" s="1"/>
  <c r="D455" i="34" s="1"/>
  <c r="N16" i="39"/>
  <c r="H22" i="39"/>
  <c r="B275" i="34"/>
  <c r="A269" i="24"/>
  <c r="B365" i="34"/>
  <c r="A189" i="24"/>
  <c r="C19" i="39"/>
  <c r="A645" i="24"/>
  <c r="B370" i="34"/>
  <c r="A284" i="24"/>
  <c r="B175" i="34"/>
  <c r="A282" i="24"/>
  <c r="AK308" i="24"/>
  <c r="AJ308" i="24"/>
  <c r="A270" i="24"/>
  <c r="B276" i="34"/>
  <c r="B289" i="34"/>
  <c r="A175" i="24"/>
  <c r="AO308" i="24"/>
  <c r="AN308" i="24"/>
  <c r="F43" i="33"/>
  <c r="B263" i="34"/>
  <c r="A250" i="24"/>
  <c r="B147" i="34"/>
  <c r="A633" i="24"/>
  <c r="F42" i="33"/>
  <c r="B377" i="34"/>
  <c r="A265" i="24"/>
  <c r="F44" i="33"/>
  <c r="F47" i="33"/>
  <c r="B362" i="34"/>
  <c r="A533" i="24"/>
  <c r="AL492" i="24"/>
  <c r="AO492" i="24"/>
  <c r="AM492" i="24"/>
  <c r="AK289" i="24"/>
  <c r="AL308" i="24"/>
  <c r="AO208" i="24"/>
  <c r="AK208" i="24"/>
  <c r="AN208" i="24"/>
  <c r="AJ208" i="24"/>
  <c r="AM208" i="24"/>
  <c r="AL208" i="24"/>
  <c r="B172" i="34"/>
  <c r="A243" i="24"/>
  <c r="B373" i="34"/>
  <c r="A341" i="24"/>
  <c r="B374" i="34"/>
  <c r="A418" i="24"/>
  <c r="AN534" i="24"/>
  <c r="AJ534" i="24"/>
  <c r="AM534" i="24"/>
  <c r="AL534" i="24"/>
  <c r="AO534" i="24"/>
  <c r="AK534" i="24"/>
  <c r="B176" i="34"/>
  <c r="A300" i="24"/>
  <c r="AL419" i="24"/>
  <c r="AO419" i="24"/>
  <c r="AK419" i="24"/>
  <c r="AN419" i="24"/>
  <c r="AJ419" i="24"/>
  <c r="AM419" i="24"/>
  <c r="E44" i="33"/>
  <c r="E48" i="33"/>
  <c r="E43" i="33"/>
  <c r="E42" i="33"/>
  <c r="E46" i="33"/>
  <c r="E47" i="33"/>
  <c r="I25" i="17"/>
  <c r="J31" i="17" s="1"/>
  <c r="T431" i="34" s="1"/>
  <c r="J30" i="17"/>
  <c r="T430" i="34" s="1"/>
  <c r="U645" i="24"/>
  <c r="U647" i="24" s="1"/>
  <c r="AA647" i="24" s="1"/>
  <c r="R645" i="24"/>
  <c r="I28" i="17"/>
  <c r="AG762" i="24"/>
  <c r="F31" i="31"/>
  <c r="E22" i="17"/>
  <c r="H19" i="39"/>
  <c r="B194" i="34"/>
  <c r="C28" i="39"/>
  <c r="B363" i="34"/>
  <c r="C30" i="39"/>
  <c r="AH762" i="24"/>
  <c r="H30" i="39"/>
  <c r="H14" i="39"/>
  <c r="H15" i="39"/>
  <c r="N29" i="31"/>
  <c r="O30" i="31" s="1"/>
  <c r="H29" i="31"/>
  <c r="H32" i="31"/>
  <c r="N25" i="31"/>
  <c r="N18" i="31"/>
  <c r="K180" i="24"/>
  <c r="K181" i="24" s="1"/>
  <c r="W181" i="24" s="1"/>
  <c r="R180" i="24"/>
  <c r="AM181" i="24" s="1"/>
  <c r="R763" i="24"/>
  <c r="Y763" i="24" s="1"/>
  <c r="Z769" i="24" s="1"/>
  <c r="AE769" i="24" s="1"/>
  <c r="AU45" i="24" s="1"/>
  <c r="AH761" i="24"/>
  <c r="AL763" i="24"/>
  <c r="AM763" i="24"/>
  <c r="K705" i="24"/>
  <c r="N706" i="24" s="1"/>
  <c r="BF36" i="24" s="1"/>
  <c r="AJ596" i="34" s="1"/>
  <c r="AJ705" i="24"/>
  <c r="AG703" i="24"/>
  <c r="AG705" i="24" s="1"/>
  <c r="AK705" i="24"/>
  <c r="AK725" i="24"/>
  <c r="AJ725" i="24"/>
  <c r="K679" i="24"/>
  <c r="AG677" i="24"/>
  <c r="F63" i="19"/>
  <c r="G415" i="24" s="1"/>
  <c r="B93" i="34"/>
  <c r="R705" i="24"/>
  <c r="Y705" i="24" s="1"/>
  <c r="Z711" i="24" s="1"/>
  <c r="AE711" i="24" s="1"/>
  <c r="AU42" i="24" s="1"/>
  <c r="AH703" i="24"/>
  <c r="AH705" i="24" s="1"/>
  <c r="AM705" i="24"/>
  <c r="AL705" i="24"/>
  <c r="H679" i="24"/>
  <c r="D679" i="24" s="1"/>
  <c r="AM725" i="24"/>
  <c r="AH723" i="24"/>
  <c r="AH725" i="24" s="1"/>
  <c r="AL725" i="24"/>
  <c r="U679" i="24"/>
  <c r="AI677" i="24"/>
  <c r="K744" i="24"/>
  <c r="AJ744" i="24"/>
  <c r="AG742" i="24"/>
  <c r="AG744" i="24" s="1"/>
  <c r="AK744" i="24"/>
  <c r="H744" i="24"/>
  <c r="F85" i="19"/>
  <c r="G553" i="24" s="1"/>
  <c r="F73" i="19"/>
  <c r="G473" i="24" s="1"/>
  <c r="F14" i="31"/>
  <c r="K763" i="24"/>
  <c r="W763" i="24" s="1"/>
  <c r="AK763" i="24"/>
  <c r="H763" i="24"/>
  <c r="AG761" i="24"/>
  <c r="AG763" i="24" s="1"/>
  <c r="AJ763" i="24"/>
  <c r="AH633" i="24"/>
  <c r="R635" i="24"/>
  <c r="H705" i="24"/>
  <c r="H722" i="24"/>
  <c r="R722" i="24"/>
  <c r="K722" i="24"/>
  <c r="AG723" i="24"/>
  <c r="AG725" i="24" s="1"/>
  <c r="R679" i="24"/>
  <c r="AH677" i="24"/>
  <c r="R744" i="24"/>
  <c r="Y744" i="24" s="1"/>
  <c r="Z750" i="24" s="1"/>
  <c r="AE750" i="24" s="1"/>
  <c r="AU44" i="24" s="1"/>
  <c r="AM744" i="24"/>
  <c r="AL744" i="24"/>
  <c r="AH742" i="24"/>
  <c r="AH744" i="24" s="1"/>
  <c r="K647" i="24"/>
  <c r="W647" i="24" s="1"/>
  <c r="U181" i="24"/>
  <c r="AA181" i="24" s="1"/>
  <c r="B372" i="34"/>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84" i="15"/>
  <c r="B30" i="34" s="1"/>
  <c r="B342" i="15"/>
  <c r="B304" i="34" s="1"/>
  <c r="B354" i="15"/>
  <c r="B368" i="15"/>
  <c r="B351" i="15"/>
  <c r="C23" i="33" s="1"/>
  <c r="B353" i="15"/>
  <c r="B369" i="15"/>
  <c r="B347" i="15"/>
  <c r="C21" i="33" s="1"/>
  <c r="B340" i="15"/>
  <c r="B343" i="15"/>
  <c r="B305" i="34" s="1"/>
  <c r="B345" i="15"/>
  <c r="C18" i="33" s="1"/>
  <c r="B633" i="34" s="1"/>
  <c r="B349" i="15"/>
  <c r="C22" i="33" s="1"/>
  <c r="B425" i="15"/>
  <c r="B406" i="15"/>
  <c r="B422" i="15"/>
  <c r="B329" i="15"/>
  <c r="B122" i="34"/>
  <c r="B121" i="34"/>
  <c r="P87" i="15"/>
  <c r="E31" i="34" s="1"/>
  <c r="R113" i="15"/>
  <c r="R112" i="15"/>
  <c r="A127" i="15"/>
  <c r="AM596" i="34" l="1"/>
  <c r="AL596" i="34"/>
  <c r="AK596" i="34"/>
  <c r="AN596" i="34"/>
  <c r="AJ289" i="24"/>
  <c r="U27" i="44"/>
  <c r="B87" i="45" s="1"/>
  <c r="T27" i="44"/>
  <c r="B85" i="45" s="1"/>
  <c r="W14" i="44"/>
  <c r="H21" i="41"/>
  <c r="J21" i="41"/>
  <c r="B191" i="45" s="1"/>
  <c r="I21" i="41"/>
  <c r="B144" i="45" s="1"/>
  <c r="B110" i="45"/>
  <c r="B94" i="45"/>
  <c r="V14" i="44"/>
  <c r="R26" i="44"/>
  <c r="G33" i="44"/>
  <c r="AC33" i="44" s="1"/>
  <c r="A33" i="44"/>
  <c r="G35" i="44"/>
  <c r="A35" i="44"/>
  <c r="AJ492" i="24"/>
  <c r="AN492" i="24"/>
  <c r="H37" i="39"/>
  <c r="D456" i="34"/>
  <c r="N28" i="39"/>
  <c r="N31" i="39"/>
  <c r="N30" i="39"/>
  <c r="AO289" i="24"/>
  <c r="D37" i="42"/>
  <c r="AK193" i="24"/>
  <c r="AJ58" i="24"/>
  <c r="AM193" i="24"/>
  <c r="AJ193" i="24"/>
  <c r="AL193" i="24"/>
  <c r="AO193" i="24"/>
  <c r="F49" i="19"/>
  <c r="G319" i="24" s="1"/>
  <c r="AK319" i="24" s="1"/>
  <c r="H635" i="24"/>
  <c r="D635" i="24" s="1"/>
  <c r="AG633" i="24"/>
  <c r="AN58" i="24"/>
  <c r="AK58" i="24"/>
  <c r="K635" i="24"/>
  <c r="H639" i="24" s="1"/>
  <c r="AO58" i="24"/>
  <c r="AM58" i="24"/>
  <c r="E464" i="34"/>
  <c r="D464" i="34"/>
  <c r="D459" i="34"/>
  <c r="E459" i="34"/>
  <c r="D460" i="34"/>
  <c r="E460" i="34"/>
  <c r="D458" i="34"/>
  <c r="E458" i="34"/>
  <c r="AC35" i="44"/>
  <c r="C467" i="34" s="1"/>
  <c r="C462" i="34"/>
  <c r="E34" i="44"/>
  <c r="F59" i="19"/>
  <c r="G395" i="24" s="1"/>
  <c r="N33" i="44"/>
  <c r="AD33" i="44" s="1"/>
  <c r="N37" i="44"/>
  <c r="AD37" i="44" s="1"/>
  <c r="AM542" i="24"/>
  <c r="AL542" i="24"/>
  <c r="AO542" i="24"/>
  <c r="AN542" i="24"/>
  <c r="N19" i="44"/>
  <c r="R19" i="44" s="1"/>
  <c r="B247" i="34"/>
  <c r="A722" i="24"/>
  <c r="AN553" i="24"/>
  <c r="AM553" i="24"/>
  <c r="AL553" i="24"/>
  <c r="AO553" i="24"/>
  <c r="AN270" i="24"/>
  <c r="AJ270" i="24"/>
  <c r="AM270" i="24"/>
  <c r="AL270" i="24"/>
  <c r="AO270" i="24"/>
  <c r="AK270" i="24"/>
  <c r="AN282" i="24"/>
  <c r="AJ282" i="24"/>
  <c r="AM282" i="24"/>
  <c r="AM283" i="24" s="1"/>
  <c r="AL282" i="24"/>
  <c r="AL283" i="24" s="1"/>
  <c r="AO282" i="24"/>
  <c r="AK282" i="24"/>
  <c r="AM645" i="24"/>
  <c r="AM647" i="24" s="1"/>
  <c r="AL645" i="24"/>
  <c r="AL647" i="24" s="1"/>
  <c r="AL269" i="24"/>
  <c r="AO269" i="24"/>
  <c r="AK269" i="24"/>
  <c r="AN269" i="24"/>
  <c r="AJ269" i="24"/>
  <c r="AM269" i="24"/>
  <c r="B375" i="34"/>
  <c r="A322" i="24"/>
  <c r="AM341" i="24"/>
  <c r="AM343" i="24" s="1"/>
  <c r="AL341" i="24"/>
  <c r="AL343" i="24" s="1"/>
  <c r="AO341" i="24"/>
  <c r="AK341" i="24"/>
  <c r="AN341" i="24"/>
  <c r="AJ341" i="24"/>
  <c r="AL533" i="24"/>
  <c r="AO533" i="24"/>
  <c r="AO535" i="24" s="1"/>
  <c r="AK533" i="24"/>
  <c r="AN533" i="24"/>
  <c r="AN535" i="24" s="1"/>
  <c r="AJ533" i="24"/>
  <c r="AM533" i="24"/>
  <c r="AN633" i="24"/>
  <c r="AN635" i="24" s="1"/>
  <c r="AN639" i="24" s="1"/>
  <c r="AJ633" i="24"/>
  <c r="AJ635" i="24" s="1"/>
  <c r="AM633" i="24"/>
  <c r="AM635" i="24" s="1"/>
  <c r="AM639" i="24" s="1"/>
  <c r="AL633" i="24"/>
  <c r="AL635" i="24" s="1"/>
  <c r="AL639" i="24" s="1"/>
  <c r="AO633" i="24"/>
  <c r="AO635" i="24" s="1"/>
  <c r="AK633" i="24"/>
  <c r="AK635" i="24" s="1"/>
  <c r="AM175" i="24"/>
  <c r="AL175" i="24"/>
  <c r="AO175" i="24"/>
  <c r="AK175" i="24"/>
  <c r="AN175" i="24"/>
  <c r="AJ175" i="24"/>
  <c r="B364" i="34"/>
  <c r="A112" i="24"/>
  <c r="AH180" i="24"/>
  <c r="AH181" i="24" s="1"/>
  <c r="AK331" i="24"/>
  <c r="AJ331" i="24"/>
  <c r="AN415" i="24"/>
  <c r="AM415" i="24"/>
  <c r="AL415" i="24"/>
  <c r="AO415" i="24"/>
  <c r="AL284" i="24"/>
  <c r="AL286" i="24" s="1"/>
  <c r="AO284" i="24"/>
  <c r="AK284" i="24"/>
  <c r="AN284" i="24"/>
  <c r="AJ284" i="24"/>
  <c r="AM284" i="24"/>
  <c r="AM286" i="24" s="1"/>
  <c r="AO189" i="24"/>
  <c r="AO191" i="24" s="1"/>
  <c r="AK189" i="24"/>
  <c r="AN189" i="24"/>
  <c r="AN191" i="24" s="1"/>
  <c r="AJ189" i="24"/>
  <c r="AM189" i="24"/>
  <c r="AL189" i="24"/>
  <c r="B298" i="34"/>
  <c r="A346" i="24"/>
  <c r="AL300" i="24"/>
  <c r="AO300" i="24"/>
  <c r="AK300" i="24"/>
  <c r="AN300" i="24"/>
  <c r="AJ300" i="24"/>
  <c r="AM300" i="24"/>
  <c r="AN418" i="24"/>
  <c r="AN421" i="24" s="1"/>
  <c r="AJ418" i="24"/>
  <c r="AM418" i="24"/>
  <c r="AM421" i="24" s="1"/>
  <c r="AL418" i="24"/>
  <c r="AL421" i="24" s="1"/>
  <c r="AO418" i="24"/>
  <c r="AK418" i="24"/>
  <c r="AK421" i="24" s="1"/>
  <c r="AO243" i="24"/>
  <c r="AK243" i="24"/>
  <c r="AN243" i="24"/>
  <c r="AJ243" i="24"/>
  <c r="AM243" i="24"/>
  <c r="AL243" i="24"/>
  <c r="AJ265" i="24"/>
  <c r="AL265" i="24"/>
  <c r="AO265" i="24"/>
  <c r="AK265" i="24"/>
  <c r="AN265" i="24"/>
  <c r="AM265" i="24"/>
  <c r="AJ250" i="24"/>
  <c r="AL250" i="24"/>
  <c r="AK250" i="24"/>
  <c r="AN250" i="24"/>
  <c r="AM250" i="24"/>
  <c r="AO250" i="24"/>
  <c r="I31" i="17"/>
  <c r="S431" i="34" s="1"/>
  <c r="R647" i="24"/>
  <c r="Y647" i="24" s="1"/>
  <c r="AH645" i="24"/>
  <c r="AH647" i="24" s="1"/>
  <c r="AL181" i="24"/>
  <c r="R181" i="24"/>
  <c r="Y181" i="24" s="1"/>
  <c r="AH763" i="24"/>
  <c r="B378" i="34"/>
  <c r="C29" i="39"/>
  <c r="AL745" i="24"/>
  <c r="AL750" i="24" s="1"/>
  <c r="Z745" i="24"/>
  <c r="AM745" i="24"/>
  <c r="AM750" i="24" s="1"/>
  <c r="AH745" i="24"/>
  <c r="AH750" i="24" s="1"/>
  <c r="H764" i="24"/>
  <c r="AZ39" i="24" s="1"/>
  <c r="AG679" i="24"/>
  <c r="AG683" i="24" s="1"/>
  <c r="AI635" i="24"/>
  <c r="AI639" i="24" s="1"/>
  <c r="AO639" i="24"/>
  <c r="U639" i="24"/>
  <c r="AA639" i="24" s="1"/>
  <c r="AB648" i="24" s="1"/>
  <c r="AF648" i="24" s="1"/>
  <c r="E744" i="24"/>
  <c r="N745" i="24" s="1"/>
  <c r="BF38" i="24" s="1"/>
  <c r="AJ598" i="34" s="1"/>
  <c r="D744" i="24"/>
  <c r="W744" i="24"/>
  <c r="H745" i="24"/>
  <c r="AZ38" i="24" s="1"/>
  <c r="AK683" i="24"/>
  <c r="AJ683" i="24"/>
  <c r="H683" i="24"/>
  <c r="K683" i="24"/>
  <c r="D705" i="24"/>
  <c r="AH683" i="24"/>
  <c r="AH679" i="24"/>
  <c r="AM683" i="24"/>
  <c r="R683" i="24"/>
  <c r="Y683" i="24" s="1"/>
  <c r="Z692" i="24" s="1"/>
  <c r="AE692" i="24" s="1"/>
  <c r="AU41" i="24" s="1"/>
  <c r="AL683" i="24"/>
  <c r="AG722" i="24"/>
  <c r="K725" i="24"/>
  <c r="H725" i="24"/>
  <c r="AH639" i="24"/>
  <c r="AH635" i="24"/>
  <c r="R639" i="24"/>
  <c r="Y639" i="24" s="1"/>
  <c r="D763" i="24"/>
  <c r="E763" i="24"/>
  <c r="N764" i="24" s="1"/>
  <c r="BF39" i="24" s="1"/>
  <c r="AJ599" i="34" s="1"/>
  <c r="Z706" i="24"/>
  <c r="AL706" i="24"/>
  <c r="AL711" i="24" s="1"/>
  <c r="AM706" i="24"/>
  <c r="AM711" i="24" s="1"/>
  <c r="AH706" i="24"/>
  <c r="AH711" i="24" s="1"/>
  <c r="R725" i="24"/>
  <c r="Y725" i="24" s="1"/>
  <c r="Z731" i="24" s="1"/>
  <c r="AE731" i="24" s="1"/>
  <c r="AU43" i="24" s="1"/>
  <c r="AH722" i="24"/>
  <c r="U683" i="24"/>
  <c r="AA683" i="24" s="1"/>
  <c r="AB692" i="24" s="1"/>
  <c r="AF692" i="24" s="1"/>
  <c r="AV41" i="24" s="1"/>
  <c r="AN683" i="24"/>
  <c r="AI679" i="24"/>
  <c r="AI683" i="24" s="1"/>
  <c r="AO683" i="24"/>
  <c r="W705" i="24"/>
  <c r="H706" i="24"/>
  <c r="AZ36" i="24" s="1"/>
  <c r="BE36" i="24" s="1"/>
  <c r="Z764" i="24"/>
  <c r="AM764" i="24"/>
  <c r="AM769" i="24" s="1"/>
  <c r="AH764" i="24"/>
  <c r="AH769" i="24" s="1"/>
  <c r="AL764" i="24"/>
  <c r="AL769" i="24" s="1"/>
  <c r="C17" i="33"/>
  <c r="B632" i="34" s="1"/>
  <c r="B310" i="34"/>
  <c r="C15" i="33"/>
  <c r="B630" i="34" s="1"/>
  <c r="B115" i="15"/>
  <c r="C14" i="39"/>
  <c r="B308" i="34"/>
  <c r="C16" i="33"/>
  <c r="B631" i="34" s="1"/>
  <c r="B309" i="34"/>
  <c r="B307" i="34"/>
  <c r="B117" i="15"/>
  <c r="B122" i="15"/>
  <c r="B119" i="15"/>
  <c r="B116" i="15"/>
  <c r="B87" i="34" s="1"/>
  <c r="B88" i="34" s="1"/>
  <c r="B89" i="34" s="1"/>
  <c r="B90" i="34" s="1"/>
  <c r="B91" i="34" s="1"/>
  <c r="B92" i="34" s="1"/>
  <c r="B120" i="15"/>
  <c r="B118" i="15"/>
  <c r="B121" i="15"/>
  <c r="P52" i="19"/>
  <c r="D346" i="24" s="1"/>
  <c r="O52" i="19"/>
  <c r="C346" i="24" s="1"/>
  <c r="P60" i="19"/>
  <c r="D403" i="24" s="1"/>
  <c r="O60" i="19"/>
  <c r="C403" i="24" s="1"/>
  <c r="O59" i="19"/>
  <c r="C402" i="24" s="1"/>
  <c r="P59" i="19"/>
  <c r="D402" i="24" s="1"/>
  <c r="O61" i="19"/>
  <c r="C404" i="24" s="1"/>
  <c r="P61" i="19"/>
  <c r="D404" i="24" s="1"/>
  <c r="O82" i="19"/>
  <c r="C538" i="24" s="1"/>
  <c r="P82" i="19"/>
  <c r="D538" i="24" s="1"/>
  <c r="O83" i="19"/>
  <c r="C539" i="24" s="1"/>
  <c r="P83" i="19"/>
  <c r="D539" i="24" s="1"/>
  <c r="R417" i="15"/>
  <c r="D337" i="15"/>
  <c r="D336" i="15"/>
  <c r="C336" i="15"/>
  <c r="R337" i="15"/>
  <c r="A336" i="15"/>
  <c r="A337" i="15"/>
  <c r="R418" i="15"/>
  <c r="D17" i="27"/>
  <c r="D59" i="27"/>
  <c r="C59" i="27"/>
  <c r="B59" i="27"/>
  <c r="C49" i="27"/>
  <c r="C48" i="27"/>
  <c r="B48" i="27"/>
  <c r="B49" i="27"/>
  <c r="D554" i="24"/>
  <c r="M65" i="19"/>
  <c r="B420" i="24" s="1"/>
  <c r="M64" i="19"/>
  <c r="B419" i="24" s="1"/>
  <c r="I65" i="19"/>
  <c r="C420" i="24" s="1"/>
  <c r="J65" i="19"/>
  <c r="D420" i="24" s="1"/>
  <c r="J64" i="19"/>
  <c r="D419" i="24" s="1"/>
  <c r="I64" i="19"/>
  <c r="C419" i="24" s="1"/>
  <c r="O41" i="19"/>
  <c r="C270" i="24" s="1"/>
  <c r="P41" i="19"/>
  <c r="D270" i="24" s="1"/>
  <c r="S41" i="19"/>
  <c r="B270" i="24" s="1"/>
  <c r="A408" i="15"/>
  <c r="R301" i="15"/>
  <c r="R300" i="15"/>
  <c r="D301" i="15"/>
  <c r="D290" i="15"/>
  <c r="A291" i="15"/>
  <c r="P75" i="19"/>
  <c r="D499" i="24" s="1"/>
  <c r="O75" i="19"/>
  <c r="C499" i="24" s="1"/>
  <c r="AK603" i="34" l="1"/>
  <c r="AL603" i="34"/>
  <c r="AN603" i="34"/>
  <c r="AM603" i="34"/>
  <c r="AK604" i="34"/>
  <c r="AN604" i="34"/>
  <c r="AM604" i="34"/>
  <c r="AL604" i="34"/>
  <c r="S27" i="44"/>
  <c r="B82" i="45" s="1"/>
  <c r="B89" i="45"/>
  <c r="B72" i="45"/>
  <c r="R33" i="44"/>
  <c r="R35" i="44"/>
  <c r="AD19" i="44"/>
  <c r="C455" i="34" s="1"/>
  <c r="H38" i="39"/>
  <c r="W10" i="39"/>
  <c r="S10" i="39"/>
  <c r="V10" i="39"/>
  <c r="U10" i="39"/>
  <c r="T10" i="39"/>
  <c r="X10" i="39"/>
  <c r="N14" i="39"/>
  <c r="N29" i="39"/>
  <c r="O32" i="39" s="1"/>
  <c r="AG635" i="24"/>
  <c r="AG639" i="24" s="1"/>
  <c r="AJ319" i="24"/>
  <c r="K639" i="24"/>
  <c r="AK639" i="24"/>
  <c r="AJ639" i="24"/>
  <c r="Z648" i="24"/>
  <c r="AE648" i="24" s="1"/>
  <c r="D462" i="34"/>
  <c r="E462" i="34"/>
  <c r="D467" i="34"/>
  <c r="E467" i="34"/>
  <c r="C465" i="34"/>
  <c r="AO395" i="24"/>
  <c r="AL395" i="24"/>
  <c r="AK395" i="24"/>
  <c r="AM395" i="24"/>
  <c r="AN395" i="24"/>
  <c r="AJ395" i="24"/>
  <c r="G34" i="44"/>
  <c r="D9" i="38"/>
  <c r="E9" i="38"/>
  <c r="F9" i="38"/>
  <c r="G9" i="38"/>
  <c r="AL322" i="24"/>
  <c r="AO322" i="24"/>
  <c r="AO324" i="24" s="1"/>
  <c r="AK322" i="24"/>
  <c r="AN322" i="24"/>
  <c r="AN324" i="24" s="1"/>
  <c r="AJ322" i="24"/>
  <c r="AM322" i="24"/>
  <c r="AM112" i="24"/>
  <c r="AL112" i="24"/>
  <c r="AO112" i="24"/>
  <c r="AK112" i="24"/>
  <c r="AN112" i="24"/>
  <c r="AJ112" i="24"/>
  <c r="AN722" i="24"/>
  <c r="AJ722" i="24"/>
  <c r="AM722" i="24"/>
  <c r="AL722" i="24"/>
  <c r="AO722" i="24"/>
  <c r="AK722" i="24"/>
  <c r="AL346" i="24"/>
  <c r="AO346" i="24"/>
  <c r="AK346" i="24"/>
  <c r="AN346" i="24"/>
  <c r="AJ346" i="24"/>
  <c r="AM346" i="24"/>
  <c r="BE39" i="24"/>
  <c r="BE38" i="24"/>
  <c r="C439" i="34"/>
  <c r="C438" i="34"/>
  <c r="B86" i="34"/>
  <c r="C15" i="39"/>
  <c r="X745" i="24"/>
  <c r="X750" i="24" s="1"/>
  <c r="AD750" i="24" s="1"/>
  <c r="AT44" i="24" s="1"/>
  <c r="AJ745" i="24"/>
  <c r="AJ750" i="24" s="1"/>
  <c r="AG745" i="24"/>
  <c r="AG750" i="24" s="1"/>
  <c r="AK745" i="24"/>
  <c r="AK750" i="24" s="1"/>
  <c r="AJ764" i="24"/>
  <c r="AJ769" i="24" s="1"/>
  <c r="X764" i="24"/>
  <c r="X769" i="24" s="1"/>
  <c r="AD769" i="24" s="1"/>
  <c r="AT45" i="24" s="1"/>
  <c r="AK764" i="24"/>
  <c r="AK769" i="24" s="1"/>
  <c r="AG764" i="24"/>
  <c r="AG769" i="24" s="1"/>
  <c r="AI692" i="24"/>
  <c r="AO692" i="24"/>
  <c r="AN692" i="24"/>
  <c r="AK706" i="24"/>
  <c r="AK711" i="24" s="1"/>
  <c r="AG706" i="24"/>
  <c r="AG711" i="24" s="1"/>
  <c r="AJ706" i="24"/>
  <c r="AJ711" i="24" s="1"/>
  <c r="X706" i="24"/>
  <c r="X711" i="24" s="1"/>
  <c r="AD711" i="24" s="1"/>
  <c r="AT42" i="24" s="1"/>
  <c r="W683" i="24"/>
  <c r="H687" i="24"/>
  <c r="W639" i="24"/>
  <c r="H643" i="24"/>
  <c r="H726" i="24"/>
  <c r="AZ37" i="24" s="1"/>
  <c r="W725" i="24"/>
  <c r="AL726" i="24"/>
  <c r="AL731" i="24" s="1"/>
  <c r="Z726" i="24"/>
  <c r="AM726" i="24"/>
  <c r="AM731" i="24" s="1"/>
  <c r="AH726" i="24"/>
  <c r="AH731" i="24" s="1"/>
  <c r="Z643" i="24"/>
  <c r="AH643" i="24"/>
  <c r="AH648" i="24" s="1"/>
  <c r="AM643" i="24"/>
  <c r="AM648" i="24" s="1"/>
  <c r="AL643" i="24"/>
  <c r="AL648" i="24" s="1"/>
  <c r="E725" i="24"/>
  <c r="N726" i="24" s="1"/>
  <c r="BF37" i="24" s="1"/>
  <c r="AJ597" i="34" s="1"/>
  <c r="D725" i="24"/>
  <c r="AH687" i="24"/>
  <c r="AH692" i="24" s="1"/>
  <c r="Z687" i="24"/>
  <c r="AM687" i="24"/>
  <c r="AM692" i="24" s="1"/>
  <c r="AL687" i="24"/>
  <c r="AL692" i="24" s="1"/>
  <c r="B85" i="34"/>
  <c r="B418" i="15"/>
  <c r="U534" i="24"/>
  <c r="AI534" i="24" s="1"/>
  <c r="R534" i="24"/>
  <c r="K534" i="24"/>
  <c r="U533" i="24"/>
  <c r="AI533" i="24" s="1"/>
  <c r="R533" i="24"/>
  <c r="AH533" i="24" s="1"/>
  <c r="K533" i="24"/>
  <c r="O81" i="19"/>
  <c r="C537" i="24" s="1"/>
  <c r="P81" i="19"/>
  <c r="D537" i="24" s="1"/>
  <c r="S81" i="19"/>
  <c r="B537" i="24" s="1"/>
  <c r="D235" i="15"/>
  <c r="D236" i="15"/>
  <c r="B284" i="15"/>
  <c r="B261" i="34" s="1"/>
  <c r="AK602" i="34" l="1"/>
  <c r="AL602" i="34"/>
  <c r="AN602" i="34"/>
  <c r="AM602" i="34"/>
  <c r="P40" i="39"/>
  <c r="B15" i="45" s="1"/>
  <c r="P35" i="39"/>
  <c r="B14" i="45" s="1"/>
  <c r="E455" i="34"/>
  <c r="B66" i="45"/>
  <c r="B9" i="45"/>
  <c r="N15" i="39"/>
  <c r="AC34" i="44"/>
  <c r="D465" i="34"/>
  <c r="E465" i="34"/>
  <c r="B371" i="34"/>
  <c r="A303" i="24"/>
  <c r="BE37" i="24"/>
  <c r="AK643" i="24"/>
  <c r="AJ643" i="24"/>
  <c r="X643" i="24"/>
  <c r="X648" i="24" s="1"/>
  <c r="AD648" i="24" s="1"/>
  <c r="AG643" i="24"/>
  <c r="AJ726" i="24"/>
  <c r="AJ731" i="24" s="1"/>
  <c r="X726" i="24"/>
  <c r="X731" i="24" s="1"/>
  <c r="AD731" i="24" s="1"/>
  <c r="AT43" i="24" s="1"/>
  <c r="AG726" i="24"/>
  <c r="AG731" i="24" s="1"/>
  <c r="AK726" i="24"/>
  <c r="AK731" i="24" s="1"/>
  <c r="AJ687" i="24"/>
  <c r="AJ692" i="24" s="1"/>
  <c r="X687" i="24"/>
  <c r="X692" i="24" s="1"/>
  <c r="AD692" i="24" s="1"/>
  <c r="AT41" i="24" s="1"/>
  <c r="AK687" i="24"/>
  <c r="AK692" i="24" s="1"/>
  <c r="AG687" i="24"/>
  <c r="AG692" i="24" s="1"/>
  <c r="AG533" i="24"/>
  <c r="AY35" i="24"/>
  <c r="AI595" i="34" s="1"/>
  <c r="AS35" i="24"/>
  <c r="R535" i="24"/>
  <c r="U535" i="24"/>
  <c r="AI535" i="24" s="1"/>
  <c r="K535" i="24"/>
  <c r="R667" i="24"/>
  <c r="AH667" i="24" s="1"/>
  <c r="R626" i="24"/>
  <c r="AH626" i="24" s="1"/>
  <c r="R606" i="24"/>
  <c r="AH606" i="24" s="1"/>
  <c r="R586" i="24"/>
  <c r="AH586" i="24" s="1"/>
  <c r="R524" i="24"/>
  <c r="AH524" i="24" s="1"/>
  <c r="R505" i="24"/>
  <c r="AH505" i="24" s="1"/>
  <c r="R504" i="24"/>
  <c r="R486" i="24"/>
  <c r="AH486" i="24" s="1"/>
  <c r="R485" i="24"/>
  <c r="R467" i="24"/>
  <c r="AH467" i="24" s="1"/>
  <c r="R448" i="24"/>
  <c r="AH448" i="24" s="1"/>
  <c r="R429" i="24"/>
  <c r="AH429" i="24" s="1"/>
  <c r="R409" i="24"/>
  <c r="AH409" i="24" s="1"/>
  <c r="R389" i="24"/>
  <c r="AH389" i="24" s="1"/>
  <c r="R388" i="24"/>
  <c r="R370" i="24"/>
  <c r="AH370" i="24" s="1"/>
  <c r="R369" i="24"/>
  <c r="R351" i="24"/>
  <c r="AH351" i="24" s="1"/>
  <c r="R350" i="24"/>
  <c r="R332" i="24"/>
  <c r="AH332" i="24" s="1"/>
  <c r="K313" i="24"/>
  <c r="AG313" i="24" s="1"/>
  <c r="K312" i="24"/>
  <c r="U313" i="24"/>
  <c r="AI313" i="24" s="1"/>
  <c r="U312" i="24"/>
  <c r="R313" i="24"/>
  <c r="AH313" i="24" s="1"/>
  <c r="R312" i="24"/>
  <c r="R294" i="24"/>
  <c r="AH294" i="24" s="1"/>
  <c r="R275" i="24"/>
  <c r="AH275" i="24" s="1"/>
  <c r="R274" i="24"/>
  <c r="R256" i="24"/>
  <c r="AH256" i="24" s="1"/>
  <c r="R255" i="24"/>
  <c r="R237" i="24"/>
  <c r="AH237" i="24" s="1"/>
  <c r="R236" i="24"/>
  <c r="R218" i="24"/>
  <c r="AH218" i="24" s="1"/>
  <c r="R199" i="24"/>
  <c r="AH199" i="24" s="1"/>
  <c r="R161" i="24"/>
  <c r="AH161" i="24" s="1"/>
  <c r="R160" i="24"/>
  <c r="U161" i="24"/>
  <c r="AI161" i="24" s="1"/>
  <c r="U160" i="24"/>
  <c r="R141" i="24"/>
  <c r="AH141" i="24" s="1"/>
  <c r="R140" i="24"/>
  <c r="R121" i="24"/>
  <c r="R102" i="24"/>
  <c r="R83" i="24"/>
  <c r="K64" i="24"/>
  <c r="AG64" i="24" s="1"/>
  <c r="K63" i="24"/>
  <c r="U64" i="24"/>
  <c r="AI64" i="24" s="1"/>
  <c r="U63" i="24"/>
  <c r="R64" i="24"/>
  <c r="AH64" i="24" s="1"/>
  <c r="R63" i="24"/>
  <c r="U667" i="24"/>
  <c r="AI667" i="24" s="1"/>
  <c r="K667" i="24"/>
  <c r="AG667" i="24" s="1"/>
  <c r="U658" i="24"/>
  <c r="AI658" i="24" s="1"/>
  <c r="R658" i="24"/>
  <c r="AH658" i="24" s="1"/>
  <c r="K658" i="24"/>
  <c r="AG658" i="24" s="1"/>
  <c r="U657" i="24"/>
  <c r="AI657" i="24" s="1"/>
  <c r="R657" i="24"/>
  <c r="AH657" i="24" s="1"/>
  <c r="K657" i="24"/>
  <c r="U655" i="24"/>
  <c r="AI655" i="24" s="1"/>
  <c r="R655" i="24"/>
  <c r="AH655" i="24" s="1"/>
  <c r="K655" i="24"/>
  <c r="AG655" i="24" s="1"/>
  <c r="U626" i="24"/>
  <c r="AI626" i="24" s="1"/>
  <c r="K626" i="24"/>
  <c r="AG626" i="24" s="1"/>
  <c r="R621" i="24"/>
  <c r="AH621" i="24" s="1"/>
  <c r="K621" i="24"/>
  <c r="AG621" i="24" s="1"/>
  <c r="R620" i="24"/>
  <c r="K620" i="24"/>
  <c r="U617" i="24"/>
  <c r="AI617" i="24" s="1"/>
  <c r="R617" i="24"/>
  <c r="AH617" i="24" s="1"/>
  <c r="K617" i="24"/>
  <c r="AG617" i="24" s="1"/>
  <c r="U616" i="24"/>
  <c r="AI616" i="24" s="1"/>
  <c r="R616" i="24"/>
  <c r="AH616" i="24" s="1"/>
  <c r="K616" i="24"/>
  <c r="U614" i="24"/>
  <c r="AI614" i="24" s="1"/>
  <c r="R614" i="24"/>
  <c r="AH614" i="24" s="1"/>
  <c r="K614" i="24"/>
  <c r="AG614" i="24" s="1"/>
  <c r="U606" i="24"/>
  <c r="AI606" i="24" s="1"/>
  <c r="K606" i="24"/>
  <c r="AG606" i="24" s="1"/>
  <c r="U597" i="24"/>
  <c r="AI597" i="24" s="1"/>
  <c r="R597" i="24"/>
  <c r="AH597" i="24" s="1"/>
  <c r="K597" i="24"/>
  <c r="AG597" i="24" s="1"/>
  <c r="U596" i="24"/>
  <c r="AI596" i="24" s="1"/>
  <c r="R596" i="24"/>
  <c r="AH596" i="24" s="1"/>
  <c r="K596" i="24"/>
  <c r="U586" i="24"/>
  <c r="AI586" i="24" s="1"/>
  <c r="K586" i="24"/>
  <c r="AG586" i="24" s="1"/>
  <c r="U577" i="24"/>
  <c r="AI577" i="24" s="1"/>
  <c r="R577" i="24"/>
  <c r="AH577" i="24" s="1"/>
  <c r="K577" i="24"/>
  <c r="AG577" i="24" s="1"/>
  <c r="U576" i="24"/>
  <c r="AI576" i="24" s="1"/>
  <c r="R576" i="24"/>
  <c r="AH576" i="24" s="1"/>
  <c r="K576" i="24"/>
  <c r="U574" i="24"/>
  <c r="AI574" i="24" s="1"/>
  <c r="R574" i="24"/>
  <c r="AH574" i="24" s="1"/>
  <c r="K574" i="24"/>
  <c r="AG574" i="24" s="1"/>
  <c r="U557" i="24"/>
  <c r="AI557" i="24" s="1"/>
  <c r="R557" i="24"/>
  <c r="AH557" i="24" s="1"/>
  <c r="K557" i="24"/>
  <c r="AG557" i="24" s="1"/>
  <c r="U556" i="24"/>
  <c r="AI556" i="24" s="1"/>
  <c r="R556" i="24"/>
  <c r="AH556" i="24" s="1"/>
  <c r="K556" i="24"/>
  <c r="U524" i="24"/>
  <c r="AI524" i="24" s="1"/>
  <c r="U505" i="24"/>
  <c r="AI505" i="24" s="1"/>
  <c r="U504" i="24"/>
  <c r="U486" i="24"/>
  <c r="AI486" i="24" s="1"/>
  <c r="U485" i="24"/>
  <c r="U467" i="24"/>
  <c r="AI467" i="24" s="1"/>
  <c r="U448" i="24"/>
  <c r="AI448" i="24" s="1"/>
  <c r="U429" i="24"/>
  <c r="AI429" i="24" s="1"/>
  <c r="U409" i="24"/>
  <c r="AI409" i="24" s="1"/>
  <c r="U389" i="24"/>
  <c r="AI389" i="24" s="1"/>
  <c r="U388" i="24"/>
  <c r="U370" i="24"/>
  <c r="AI370" i="24" s="1"/>
  <c r="U369" i="24"/>
  <c r="U351" i="24"/>
  <c r="AI351" i="24" s="1"/>
  <c r="U350" i="24"/>
  <c r="U332" i="24"/>
  <c r="AI332" i="24" s="1"/>
  <c r="U294" i="24"/>
  <c r="AI294" i="24" s="1"/>
  <c r="U275" i="24"/>
  <c r="AI275" i="24" s="1"/>
  <c r="U274" i="24"/>
  <c r="U256" i="24"/>
  <c r="AI256" i="24" s="1"/>
  <c r="U255" i="24"/>
  <c r="U237" i="24"/>
  <c r="AI237" i="24" s="1"/>
  <c r="U236" i="24"/>
  <c r="U218" i="24"/>
  <c r="AI218" i="24" s="1"/>
  <c r="U199" i="24"/>
  <c r="AI199" i="24" s="1"/>
  <c r="U141" i="24"/>
  <c r="AI141" i="24" s="1"/>
  <c r="U140" i="24"/>
  <c r="U122" i="24"/>
  <c r="AI122" i="24" s="1"/>
  <c r="U121" i="24"/>
  <c r="U103" i="24"/>
  <c r="AI103" i="24" s="1"/>
  <c r="U102" i="24"/>
  <c r="U84" i="24"/>
  <c r="AI84" i="24" s="1"/>
  <c r="U83" i="24"/>
  <c r="K524" i="24"/>
  <c r="AG524" i="24" s="1"/>
  <c r="AL303" i="24" l="1"/>
  <c r="AL305" i="24" s="1"/>
  <c r="AO303" i="24"/>
  <c r="AK303" i="24"/>
  <c r="AN303" i="24"/>
  <c r="AJ303" i="24"/>
  <c r="AM303" i="24"/>
  <c r="AM305" i="24" s="1"/>
  <c r="AO65" i="24"/>
  <c r="AI63" i="24"/>
  <c r="AI65" i="24" s="1"/>
  <c r="AN65" i="24"/>
  <c r="AH388" i="24"/>
  <c r="AH390" i="24" s="1"/>
  <c r="AL390" i="24"/>
  <c r="AM390" i="24"/>
  <c r="AI102" i="24"/>
  <c r="AI104" i="24" s="1"/>
  <c r="AO104" i="24"/>
  <c r="AN104" i="24"/>
  <c r="AI350" i="24"/>
  <c r="AI352" i="24" s="1"/>
  <c r="AO352" i="24"/>
  <c r="AN352" i="24"/>
  <c r="AH102" i="24"/>
  <c r="AI160" i="24"/>
  <c r="AI162" i="24" s="1"/>
  <c r="AN162" i="24"/>
  <c r="AO162" i="24"/>
  <c r="AH312" i="24"/>
  <c r="AH314" i="24" s="1"/>
  <c r="AM314" i="24"/>
  <c r="AL314" i="24"/>
  <c r="AG312" i="24"/>
  <c r="AG314" i="24" s="1"/>
  <c r="AJ314" i="24"/>
  <c r="AK314" i="24"/>
  <c r="H314" i="24"/>
  <c r="AM506" i="24"/>
  <c r="AH504" i="24"/>
  <c r="AH506" i="24" s="1"/>
  <c r="AL506" i="24"/>
  <c r="AI140" i="24"/>
  <c r="AI142" i="24" s="1"/>
  <c r="AO142" i="24"/>
  <c r="AN142" i="24"/>
  <c r="AI274" i="24"/>
  <c r="AI276" i="24" s="1"/>
  <c r="AN276" i="24"/>
  <c r="AO276" i="24"/>
  <c r="AI388" i="24"/>
  <c r="AI390" i="24" s="1"/>
  <c r="AO390" i="24"/>
  <c r="AN390" i="24"/>
  <c r="AI504" i="24"/>
  <c r="AI506" i="24" s="1"/>
  <c r="AN506" i="24"/>
  <c r="AO506" i="24"/>
  <c r="AJ622" i="24"/>
  <c r="AG622" i="24"/>
  <c r="AG620" i="24"/>
  <c r="AK622" i="24"/>
  <c r="H622" i="24"/>
  <c r="AM622" i="24"/>
  <c r="AH622" i="24"/>
  <c r="AH620" i="24"/>
  <c r="AL622" i="24"/>
  <c r="AG657" i="24"/>
  <c r="H659" i="24"/>
  <c r="AH63" i="24"/>
  <c r="AH65" i="24" s="1"/>
  <c r="AL65" i="24"/>
  <c r="AM65" i="24"/>
  <c r="AK65" i="24"/>
  <c r="H65" i="24"/>
  <c r="AG63" i="24"/>
  <c r="AG65" i="24" s="1"/>
  <c r="AJ65" i="24"/>
  <c r="AH121" i="24"/>
  <c r="AM238" i="24"/>
  <c r="AH236" i="24"/>
  <c r="AH238" i="24" s="1"/>
  <c r="AL238" i="24"/>
  <c r="AM276" i="24"/>
  <c r="AH274" i="24"/>
  <c r="AH276" i="24" s="1"/>
  <c r="AL276" i="24"/>
  <c r="AH369" i="24"/>
  <c r="AH371" i="24" s="1"/>
  <c r="AM371" i="24"/>
  <c r="AL371" i="24"/>
  <c r="AH485" i="24"/>
  <c r="AH487" i="24" s="1"/>
  <c r="AM487" i="24"/>
  <c r="AL487" i="24"/>
  <c r="AG576" i="24"/>
  <c r="H578" i="24"/>
  <c r="AG596" i="24"/>
  <c r="H598" i="24"/>
  <c r="AH83" i="24"/>
  <c r="AH255" i="24"/>
  <c r="AH257" i="24" s="1"/>
  <c r="AL257" i="24"/>
  <c r="AM257" i="24"/>
  <c r="AM352" i="24"/>
  <c r="AH350" i="24"/>
  <c r="AH352" i="24" s="1"/>
  <c r="AL352" i="24"/>
  <c r="AI236" i="24"/>
  <c r="AI238" i="24" s="1"/>
  <c r="AO238" i="24"/>
  <c r="AN238" i="24"/>
  <c r="AI83" i="24"/>
  <c r="AI85" i="24" s="1"/>
  <c r="AO85" i="24"/>
  <c r="AN85" i="24"/>
  <c r="AI121" i="24"/>
  <c r="AI123" i="24" s="1"/>
  <c r="AN123" i="24"/>
  <c r="AO123" i="24"/>
  <c r="AI255" i="24"/>
  <c r="AI257" i="24" s="1"/>
  <c r="AN257" i="24"/>
  <c r="AO257" i="24"/>
  <c r="AI369" i="24"/>
  <c r="AI371" i="24" s="1"/>
  <c r="AO371" i="24"/>
  <c r="AN371" i="24"/>
  <c r="AI485" i="24"/>
  <c r="AI487" i="24" s="1"/>
  <c r="AN487" i="24"/>
  <c r="AO487" i="24"/>
  <c r="AG556" i="24"/>
  <c r="H558" i="24"/>
  <c r="AG616" i="24"/>
  <c r="H618" i="24"/>
  <c r="AM142" i="24"/>
  <c r="AH140" i="24"/>
  <c r="AH142" i="24" s="1"/>
  <c r="AL142" i="24"/>
  <c r="AH160" i="24"/>
  <c r="AH162" i="24" s="1"/>
  <c r="AM162" i="24"/>
  <c r="AL162" i="24"/>
  <c r="AI312" i="24"/>
  <c r="AI314" i="24" s="1"/>
  <c r="AN314" i="24"/>
  <c r="AO314" i="24"/>
  <c r="U314" i="24"/>
  <c r="AA314" i="24" s="1"/>
  <c r="K618" i="24"/>
  <c r="AG618" i="24" s="1"/>
  <c r="U85" i="24"/>
  <c r="AA85" i="24" s="1"/>
  <c r="U162" i="24"/>
  <c r="AA162" i="24" s="1"/>
  <c r="U123" i="24"/>
  <c r="AA123" i="24" s="1"/>
  <c r="U257" i="24"/>
  <c r="AA257" i="24" s="1"/>
  <c r="K659" i="24"/>
  <c r="AG659" i="24" s="1"/>
  <c r="U371" i="24"/>
  <c r="AA371" i="24" s="1"/>
  <c r="U487" i="24"/>
  <c r="AA487" i="24" s="1"/>
  <c r="K558" i="24"/>
  <c r="AG558" i="24" s="1"/>
  <c r="R618" i="24"/>
  <c r="AH618" i="24" s="1"/>
  <c r="U65" i="24"/>
  <c r="AA65" i="24" s="1"/>
  <c r="K663" i="24"/>
  <c r="W663" i="24" s="1"/>
  <c r="U142" i="24"/>
  <c r="AA142" i="24" s="1"/>
  <c r="R578" i="24"/>
  <c r="AH578" i="24" s="1"/>
  <c r="R598" i="24"/>
  <c r="AH598" i="24" s="1"/>
  <c r="U659" i="24"/>
  <c r="AI659" i="24" s="1"/>
  <c r="U578" i="24"/>
  <c r="AI578" i="24" s="1"/>
  <c r="K602" i="24"/>
  <c r="W602" i="24" s="1"/>
  <c r="U558" i="24"/>
  <c r="AI558" i="24" s="1"/>
  <c r="R602" i="24"/>
  <c r="Y602" i="24" s="1"/>
  <c r="U618" i="24"/>
  <c r="AI618" i="24" s="1"/>
  <c r="U352" i="24"/>
  <c r="AA352" i="24" s="1"/>
  <c r="U390" i="24"/>
  <c r="AA390" i="24" s="1"/>
  <c r="R558" i="24"/>
  <c r="AH558" i="24" s="1"/>
  <c r="K578" i="24"/>
  <c r="AG578" i="24" s="1"/>
  <c r="K598" i="24"/>
  <c r="AG598" i="24" s="1"/>
  <c r="K622" i="24"/>
  <c r="W622" i="24" s="1"/>
  <c r="R659" i="24"/>
  <c r="AH659" i="24" s="1"/>
  <c r="U104" i="24"/>
  <c r="AA104" i="24" s="1"/>
  <c r="U238" i="24"/>
  <c r="AA238" i="24" s="1"/>
  <c r="U276" i="24"/>
  <c r="AA276" i="24" s="1"/>
  <c r="U506" i="24"/>
  <c r="AA506" i="24" s="1"/>
  <c r="U598" i="24"/>
  <c r="AI598" i="24" s="1"/>
  <c r="R663" i="24"/>
  <c r="Y663" i="24" s="1"/>
  <c r="R622" i="24"/>
  <c r="Y622" i="24" s="1"/>
  <c r="U515" i="24" l="1"/>
  <c r="AI515" i="24" s="1"/>
  <c r="R515" i="24"/>
  <c r="AH515" i="24" s="1"/>
  <c r="K515" i="24"/>
  <c r="AG515" i="24" s="1"/>
  <c r="U514" i="24"/>
  <c r="AI514" i="24" s="1"/>
  <c r="R514" i="24"/>
  <c r="AH514" i="24" s="1"/>
  <c r="K514" i="24"/>
  <c r="K505" i="24"/>
  <c r="AG505" i="24" s="1"/>
  <c r="R506" i="24"/>
  <c r="Y506" i="24" s="1"/>
  <c r="K504" i="24"/>
  <c r="R500" i="24"/>
  <c r="AH500" i="24" s="1"/>
  <c r="K500" i="24"/>
  <c r="AG500" i="24" s="1"/>
  <c r="U496" i="24"/>
  <c r="AI496" i="24" s="1"/>
  <c r="R496" i="24"/>
  <c r="AH496" i="24" s="1"/>
  <c r="K496" i="24"/>
  <c r="AG496" i="24" s="1"/>
  <c r="U495" i="24"/>
  <c r="AI495" i="24" s="1"/>
  <c r="R495" i="24"/>
  <c r="AH495" i="24" s="1"/>
  <c r="K495" i="24"/>
  <c r="K486" i="24"/>
  <c r="AG486" i="24" s="1"/>
  <c r="R487" i="24"/>
  <c r="Y487" i="24" s="1"/>
  <c r="K485" i="24"/>
  <c r="R481" i="24"/>
  <c r="AH481" i="24" s="1"/>
  <c r="K481" i="24"/>
  <c r="AG481" i="24" s="1"/>
  <c r="U477" i="24"/>
  <c r="AI477" i="24" s="1"/>
  <c r="R477" i="24"/>
  <c r="AH477" i="24" s="1"/>
  <c r="K477" i="24"/>
  <c r="AG477" i="24" s="1"/>
  <c r="U474" i="24"/>
  <c r="AI474" i="24" s="1"/>
  <c r="R474" i="24"/>
  <c r="AH474" i="24" s="1"/>
  <c r="K474" i="24"/>
  <c r="AG474" i="24" s="1"/>
  <c r="K467" i="24"/>
  <c r="AG467" i="24" s="1"/>
  <c r="R462" i="24"/>
  <c r="AH462" i="24" s="1"/>
  <c r="K462" i="24"/>
  <c r="AG462" i="24" s="1"/>
  <c r="U458" i="24"/>
  <c r="AI458" i="24" s="1"/>
  <c r="R458" i="24"/>
  <c r="AH458" i="24" s="1"/>
  <c r="K458" i="24"/>
  <c r="AG458" i="24" s="1"/>
  <c r="U457" i="24"/>
  <c r="AI457" i="24" s="1"/>
  <c r="R457" i="24"/>
  <c r="AH457" i="24" s="1"/>
  <c r="K457" i="24"/>
  <c r="K448" i="24"/>
  <c r="AG448" i="24" s="1"/>
  <c r="U439" i="24"/>
  <c r="AI439" i="24" s="1"/>
  <c r="R439" i="24"/>
  <c r="AH439" i="24" s="1"/>
  <c r="K439" i="24"/>
  <c r="AG439" i="24" s="1"/>
  <c r="U438" i="24"/>
  <c r="AI438" i="24" s="1"/>
  <c r="R438" i="24"/>
  <c r="AH438" i="24" s="1"/>
  <c r="K438" i="24"/>
  <c r="U436" i="24"/>
  <c r="AI436" i="24" s="1"/>
  <c r="R436" i="24"/>
  <c r="AH436" i="24" s="1"/>
  <c r="K436" i="24"/>
  <c r="AG436" i="24" s="1"/>
  <c r="K429" i="24"/>
  <c r="AG429" i="24" s="1"/>
  <c r="R424" i="24"/>
  <c r="AH424" i="24" s="1"/>
  <c r="K424" i="24"/>
  <c r="AG424" i="24" s="1"/>
  <c r="U416" i="24"/>
  <c r="AI416" i="24" s="1"/>
  <c r="R416" i="24"/>
  <c r="AH416" i="24" s="1"/>
  <c r="K416" i="24"/>
  <c r="AG416" i="24" s="1"/>
  <c r="K409" i="24"/>
  <c r="AG409" i="24" s="1"/>
  <c r="U399" i="24"/>
  <c r="AI399" i="24" s="1"/>
  <c r="R399" i="24"/>
  <c r="AH399" i="24" s="1"/>
  <c r="K399" i="24"/>
  <c r="AG399" i="24" s="1"/>
  <c r="U398" i="24"/>
  <c r="AI398" i="24" s="1"/>
  <c r="R398" i="24"/>
  <c r="AH398" i="24" s="1"/>
  <c r="K398" i="24"/>
  <c r="U396" i="24"/>
  <c r="AI396" i="24" s="1"/>
  <c r="R396" i="24"/>
  <c r="AH396" i="24" s="1"/>
  <c r="K396" i="24"/>
  <c r="AG396" i="24" s="1"/>
  <c r="K389" i="24"/>
  <c r="AG389" i="24" s="1"/>
  <c r="R390" i="24"/>
  <c r="Y390" i="24" s="1"/>
  <c r="K388" i="24"/>
  <c r="R384" i="24"/>
  <c r="AH384" i="24" s="1"/>
  <c r="K384" i="24"/>
  <c r="AG384" i="24" s="1"/>
  <c r="U380" i="24"/>
  <c r="AI380" i="24" s="1"/>
  <c r="R380" i="24"/>
  <c r="AH380" i="24" s="1"/>
  <c r="K380" i="24"/>
  <c r="AG380" i="24" s="1"/>
  <c r="U379" i="24"/>
  <c r="AI379" i="24" s="1"/>
  <c r="R379" i="24"/>
  <c r="AH379" i="24" s="1"/>
  <c r="K379" i="24"/>
  <c r="U377" i="24"/>
  <c r="AI377" i="24" s="1"/>
  <c r="R377" i="24"/>
  <c r="AH377" i="24" s="1"/>
  <c r="K377" i="24"/>
  <c r="AG377" i="24" s="1"/>
  <c r="K370" i="24"/>
  <c r="AG370" i="24" s="1"/>
  <c r="R371" i="24"/>
  <c r="Y371" i="24" s="1"/>
  <c r="K369" i="24"/>
  <c r="R365" i="24"/>
  <c r="AH365" i="24" s="1"/>
  <c r="K365" i="24"/>
  <c r="AG365" i="24" s="1"/>
  <c r="U361" i="24"/>
  <c r="AI361" i="24" s="1"/>
  <c r="R361" i="24"/>
  <c r="AH361" i="24" s="1"/>
  <c r="K361" i="24"/>
  <c r="AG361" i="24" s="1"/>
  <c r="U360" i="24"/>
  <c r="AI360" i="24" s="1"/>
  <c r="R360" i="24"/>
  <c r="AH360" i="24" s="1"/>
  <c r="K360" i="24"/>
  <c r="U358" i="24"/>
  <c r="AI358" i="24" s="1"/>
  <c r="R358" i="24"/>
  <c r="AH358" i="24" s="1"/>
  <c r="K358" i="24"/>
  <c r="AG358" i="24" s="1"/>
  <c r="K351" i="24"/>
  <c r="AG351" i="24" s="1"/>
  <c r="R352" i="24"/>
  <c r="Y352" i="24" s="1"/>
  <c r="K350" i="24"/>
  <c r="U342" i="24"/>
  <c r="AI342" i="24" s="1"/>
  <c r="R342" i="24"/>
  <c r="AH342" i="24" s="1"/>
  <c r="K342" i="24"/>
  <c r="AG342" i="24" s="1"/>
  <c r="K332" i="24"/>
  <c r="AG332" i="24" s="1"/>
  <c r="R327" i="24"/>
  <c r="AH327" i="24" s="1"/>
  <c r="K327" i="24"/>
  <c r="AG327" i="24" s="1"/>
  <c r="U323" i="24"/>
  <c r="AI323" i="24" s="1"/>
  <c r="R323" i="24"/>
  <c r="AH323" i="24" s="1"/>
  <c r="K323" i="24"/>
  <c r="AG323" i="24" s="1"/>
  <c r="U320" i="24"/>
  <c r="AI320" i="24" s="1"/>
  <c r="R320" i="24"/>
  <c r="AH320" i="24" s="1"/>
  <c r="K320" i="24"/>
  <c r="AG320" i="24" s="1"/>
  <c r="U304" i="24"/>
  <c r="AI304" i="24" s="1"/>
  <c r="R304" i="24"/>
  <c r="AH304" i="24" s="1"/>
  <c r="K304" i="24"/>
  <c r="AG304" i="24" s="1"/>
  <c r="K294" i="24"/>
  <c r="AG294" i="24" s="1"/>
  <c r="U285" i="24"/>
  <c r="AI285" i="24" s="1"/>
  <c r="R285" i="24"/>
  <c r="AH285" i="24" s="1"/>
  <c r="K285" i="24"/>
  <c r="AG285" i="24" s="1"/>
  <c r="K275" i="24"/>
  <c r="AG275" i="24" s="1"/>
  <c r="R276" i="24"/>
  <c r="Y276" i="24" s="1"/>
  <c r="K274" i="24"/>
  <c r="U266" i="24"/>
  <c r="AI266" i="24" s="1"/>
  <c r="R266" i="24"/>
  <c r="AH266" i="24" s="1"/>
  <c r="K266" i="24"/>
  <c r="AG266" i="24" s="1"/>
  <c r="U263" i="24"/>
  <c r="AI263" i="24" s="1"/>
  <c r="R263" i="24"/>
  <c r="AH263" i="24" s="1"/>
  <c r="K263" i="24"/>
  <c r="AG263" i="24" s="1"/>
  <c r="K256" i="24"/>
  <c r="AG256" i="24" s="1"/>
  <c r="K255" i="24"/>
  <c r="U247" i="24"/>
  <c r="AI247" i="24" s="1"/>
  <c r="R247" i="24"/>
  <c r="AH247" i="24" s="1"/>
  <c r="K247" i="24"/>
  <c r="AG247" i="24" s="1"/>
  <c r="U246" i="24"/>
  <c r="AI246" i="24" s="1"/>
  <c r="R246" i="24"/>
  <c r="AH246" i="24" s="1"/>
  <c r="K246" i="24"/>
  <c r="U244" i="24"/>
  <c r="AI244" i="24" s="1"/>
  <c r="R244" i="24"/>
  <c r="AH244" i="24" s="1"/>
  <c r="K244" i="24"/>
  <c r="AG244" i="24" s="1"/>
  <c r="K237" i="24"/>
  <c r="AG237" i="24" s="1"/>
  <c r="K236" i="24"/>
  <c r="R232" i="24"/>
  <c r="AH232" i="24" s="1"/>
  <c r="K232" i="24"/>
  <c r="AG232" i="24" s="1"/>
  <c r="U228" i="24"/>
  <c r="AI228" i="24" s="1"/>
  <c r="R228" i="24"/>
  <c r="AH228" i="24" s="1"/>
  <c r="K228" i="24"/>
  <c r="AG228" i="24" s="1"/>
  <c r="K218" i="24"/>
  <c r="AG218" i="24" s="1"/>
  <c r="R213" i="24"/>
  <c r="AH213" i="24" s="1"/>
  <c r="K213" i="24"/>
  <c r="AG213" i="24" s="1"/>
  <c r="U206" i="24"/>
  <c r="AI206" i="24" s="1"/>
  <c r="R206" i="24"/>
  <c r="AH206" i="24" s="1"/>
  <c r="K206" i="24"/>
  <c r="AG206" i="24" s="1"/>
  <c r="K199" i="24"/>
  <c r="AG199" i="24" s="1"/>
  <c r="U190" i="24"/>
  <c r="AI190" i="24" s="1"/>
  <c r="R190" i="24"/>
  <c r="AH190" i="24" s="1"/>
  <c r="K190" i="24"/>
  <c r="AG190" i="24" s="1"/>
  <c r="U187" i="24"/>
  <c r="AI187" i="24" s="1"/>
  <c r="R187" i="24"/>
  <c r="AH187" i="24" s="1"/>
  <c r="K187" i="24"/>
  <c r="AG187" i="24" s="1"/>
  <c r="U171" i="24"/>
  <c r="AI171" i="24" s="1"/>
  <c r="R171" i="24"/>
  <c r="AH171" i="24" s="1"/>
  <c r="K171" i="24"/>
  <c r="AG171" i="24" s="1"/>
  <c r="U170" i="24"/>
  <c r="AI170" i="24" s="1"/>
  <c r="R170" i="24"/>
  <c r="AH170" i="24" s="1"/>
  <c r="K170" i="24"/>
  <c r="U168" i="24"/>
  <c r="AI168" i="24" s="1"/>
  <c r="R168" i="24"/>
  <c r="AH168" i="24" s="1"/>
  <c r="K168" i="24"/>
  <c r="AG168" i="24" s="1"/>
  <c r="K161" i="24"/>
  <c r="AG161" i="24" s="1"/>
  <c r="K160" i="24"/>
  <c r="R155" i="24"/>
  <c r="U152" i="24"/>
  <c r="AI152" i="24" s="1"/>
  <c r="R152" i="24"/>
  <c r="AH152" i="24" s="1"/>
  <c r="K152" i="24"/>
  <c r="AG152" i="24" s="1"/>
  <c r="U151" i="24"/>
  <c r="AI151" i="24" s="1"/>
  <c r="R151" i="24"/>
  <c r="AH151" i="24" s="1"/>
  <c r="K151" i="24"/>
  <c r="K141" i="24"/>
  <c r="AG141" i="24" s="1"/>
  <c r="K140" i="24"/>
  <c r="R136" i="24"/>
  <c r="AH136" i="24" s="1"/>
  <c r="K136" i="24"/>
  <c r="AG136" i="24" s="1"/>
  <c r="U132" i="24"/>
  <c r="AI132" i="24" s="1"/>
  <c r="R132" i="24"/>
  <c r="AH132" i="24" s="1"/>
  <c r="K132" i="24"/>
  <c r="AG132" i="24" s="1"/>
  <c r="U131" i="24"/>
  <c r="AI131" i="24" s="1"/>
  <c r="R131" i="24"/>
  <c r="AH131" i="24" s="1"/>
  <c r="K131" i="24"/>
  <c r="R122" i="24"/>
  <c r="K122" i="24"/>
  <c r="AG122" i="24" s="1"/>
  <c r="K121" i="24"/>
  <c r="R117" i="24"/>
  <c r="AH117" i="24" s="1"/>
  <c r="K117" i="24"/>
  <c r="AG117" i="24" s="1"/>
  <c r="U113" i="24"/>
  <c r="AI113" i="24" s="1"/>
  <c r="R113" i="24"/>
  <c r="AH113" i="24" s="1"/>
  <c r="K113" i="24"/>
  <c r="AG113" i="24" s="1"/>
  <c r="U110" i="24"/>
  <c r="AI110" i="24" s="1"/>
  <c r="R110" i="24"/>
  <c r="AH110" i="24" s="1"/>
  <c r="K110" i="24"/>
  <c r="AG110" i="24" s="1"/>
  <c r="R103" i="24"/>
  <c r="K103" i="24"/>
  <c r="AG103" i="24" s="1"/>
  <c r="K102" i="24"/>
  <c r="R98" i="24"/>
  <c r="AH98" i="24" s="1"/>
  <c r="K98" i="24"/>
  <c r="AG98" i="24" s="1"/>
  <c r="U94" i="24"/>
  <c r="AI94" i="24" s="1"/>
  <c r="R94" i="24"/>
  <c r="AH94" i="24" s="1"/>
  <c r="K94" i="24"/>
  <c r="AG94" i="24" s="1"/>
  <c r="U93" i="24"/>
  <c r="AI93" i="24" s="1"/>
  <c r="R93" i="24"/>
  <c r="AH93" i="24" s="1"/>
  <c r="K93" i="24"/>
  <c r="U91" i="24"/>
  <c r="AI91" i="24" s="1"/>
  <c r="R91" i="24"/>
  <c r="AH91" i="24" s="1"/>
  <c r="K91" i="24"/>
  <c r="AG91" i="24" s="1"/>
  <c r="R84" i="24"/>
  <c r="K84" i="24"/>
  <c r="AG84" i="24" s="1"/>
  <c r="K83" i="24"/>
  <c r="R79" i="24"/>
  <c r="AH79" i="24" s="1"/>
  <c r="K79" i="24"/>
  <c r="AG79" i="24" s="1"/>
  <c r="U75" i="24"/>
  <c r="AI75" i="24" s="1"/>
  <c r="R75" i="24"/>
  <c r="AH75" i="24" s="1"/>
  <c r="K75" i="24"/>
  <c r="AG75" i="24" s="1"/>
  <c r="U74" i="24"/>
  <c r="AI74" i="24" s="1"/>
  <c r="R74" i="24"/>
  <c r="AH74" i="24" s="1"/>
  <c r="K74" i="24"/>
  <c r="R65" i="24"/>
  <c r="Y65" i="24" s="1"/>
  <c r="U55" i="24"/>
  <c r="AI55" i="24" s="1"/>
  <c r="R55" i="24"/>
  <c r="AH55" i="24" s="1"/>
  <c r="K55" i="24"/>
  <c r="AG55" i="24" s="1"/>
  <c r="U54" i="24"/>
  <c r="AI54" i="24" s="1"/>
  <c r="R54" i="24"/>
  <c r="AH54" i="24" s="1"/>
  <c r="K54" i="24"/>
  <c r="U52" i="24"/>
  <c r="AI52" i="24" s="1"/>
  <c r="R52" i="24"/>
  <c r="AH52" i="24" s="1"/>
  <c r="K52" i="24"/>
  <c r="AG52" i="24" s="1"/>
  <c r="B221" i="15"/>
  <c r="B207" i="15"/>
  <c r="B188" i="34" s="1"/>
  <c r="C143" i="15"/>
  <c r="C142" i="15"/>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R221" i="15"/>
  <c r="C221" i="15"/>
  <c r="D221" i="15"/>
  <c r="A221" i="15"/>
  <c r="Q132" i="14"/>
  <c r="P132" i="14"/>
  <c r="D659" i="24"/>
  <c r="B168" i="15"/>
  <c r="F91" i="19" l="1"/>
  <c r="G613" i="24" s="1"/>
  <c r="F32" i="31"/>
  <c r="N32" i="31" s="1"/>
  <c r="B199" i="34"/>
  <c r="C32" i="31"/>
  <c r="AH84" i="24"/>
  <c r="AH85" i="24" s="1"/>
  <c r="AM85" i="24"/>
  <c r="AL85" i="24"/>
  <c r="AG379" i="24"/>
  <c r="H381" i="24"/>
  <c r="AG438" i="24"/>
  <c r="H440" i="24"/>
  <c r="AG457" i="24"/>
  <c r="H459" i="24"/>
  <c r="AG54" i="24"/>
  <c r="H56" i="24"/>
  <c r="H76" i="24"/>
  <c r="AG74" i="24"/>
  <c r="AG102" i="24"/>
  <c r="AG104" i="24" s="1"/>
  <c r="AK104" i="24"/>
  <c r="AJ104" i="24"/>
  <c r="H104" i="24"/>
  <c r="AG121" i="24"/>
  <c r="AG123" i="24" s="1"/>
  <c r="AJ123" i="24"/>
  <c r="H123" i="24"/>
  <c r="AK123" i="24"/>
  <c r="AG140" i="24"/>
  <c r="AG142" i="24" s="1"/>
  <c r="AK142" i="24"/>
  <c r="AJ142" i="24"/>
  <c r="H142" i="24"/>
  <c r="AG246" i="24"/>
  <c r="H248" i="24"/>
  <c r="AG274" i="24"/>
  <c r="AG276" i="24" s="1"/>
  <c r="AJ276" i="24"/>
  <c r="H276" i="24"/>
  <c r="AK276" i="24"/>
  <c r="AG360" i="24"/>
  <c r="H362" i="24"/>
  <c r="AG388" i="24"/>
  <c r="AG390" i="24" s="1"/>
  <c r="H390" i="24"/>
  <c r="AJ390" i="24"/>
  <c r="AK390" i="24"/>
  <c r="AG93" i="24"/>
  <c r="H95" i="24"/>
  <c r="H133" i="24"/>
  <c r="AG131" i="24"/>
  <c r="AG170" i="24"/>
  <c r="H172" i="24"/>
  <c r="AG236" i="24"/>
  <c r="AG238" i="24" s="1"/>
  <c r="AJ238" i="24"/>
  <c r="H238" i="24"/>
  <c r="AK238" i="24"/>
  <c r="AG255" i="24"/>
  <c r="AG257" i="24" s="1"/>
  <c r="H257" i="24"/>
  <c r="AK257" i="24"/>
  <c r="AJ257" i="24"/>
  <c r="AG83" i="24"/>
  <c r="AG85" i="24" s="1"/>
  <c r="AK85" i="24"/>
  <c r="AJ85" i="24"/>
  <c r="H85" i="24"/>
  <c r="AH155" i="24"/>
  <c r="AG369" i="24"/>
  <c r="AG371" i="24" s="1"/>
  <c r="AK371" i="24"/>
  <c r="AJ371" i="24"/>
  <c r="H371" i="24"/>
  <c r="AG495" i="24"/>
  <c r="H497" i="24"/>
  <c r="AG514" i="24"/>
  <c r="H516" i="24"/>
  <c r="AH103" i="24"/>
  <c r="AH104" i="24" s="1"/>
  <c r="AM104" i="24"/>
  <c r="AL104" i="24"/>
  <c r="AH122" i="24"/>
  <c r="AH123" i="24" s="1"/>
  <c r="AM123" i="24"/>
  <c r="AL123" i="24"/>
  <c r="AG151" i="24"/>
  <c r="H153" i="24"/>
  <c r="AG160" i="24"/>
  <c r="AG162" i="24" s="1"/>
  <c r="H162" i="24"/>
  <c r="AK162" i="24"/>
  <c r="AJ162" i="24"/>
  <c r="AG350" i="24"/>
  <c r="AG352" i="24" s="1"/>
  <c r="AK352" i="24"/>
  <c r="AJ352" i="24"/>
  <c r="H352" i="24"/>
  <c r="AG398" i="24"/>
  <c r="H400" i="24"/>
  <c r="AG485" i="24"/>
  <c r="AG487" i="24" s="1"/>
  <c r="AK487" i="24"/>
  <c r="H487" i="24"/>
  <c r="AJ487" i="24"/>
  <c r="AG504" i="24"/>
  <c r="AG506" i="24" s="1"/>
  <c r="H506" i="24"/>
  <c r="AK506" i="24"/>
  <c r="AJ506" i="24"/>
  <c r="K155" i="24"/>
  <c r="B222" i="15"/>
  <c r="B231" i="15"/>
  <c r="B206" i="34" s="1"/>
  <c r="B320" i="34"/>
  <c r="B373" i="15"/>
  <c r="C42" i="33" s="1"/>
  <c r="B227" i="15"/>
  <c r="B224" i="15"/>
  <c r="B226" i="15"/>
  <c r="B223" i="15"/>
  <c r="B200" i="34" s="1"/>
  <c r="B201" i="34" s="1"/>
  <c r="B202" i="34" s="1"/>
  <c r="B203" i="34" s="1"/>
  <c r="B204" i="34" s="1"/>
  <c r="B205" i="34" s="1"/>
  <c r="B229" i="15"/>
  <c r="R381" i="24"/>
  <c r="AH381" i="24" s="1"/>
  <c r="K400" i="24"/>
  <c r="AG400" i="24" s="1"/>
  <c r="R459" i="24"/>
  <c r="AH459" i="24" s="1"/>
  <c r="R172" i="24"/>
  <c r="AH172" i="24" s="1"/>
  <c r="R362" i="24"/>
  <c r="AH362" i="24" s="1"/>
  <c r="K76" i="24"/>
  <c r="AG76" i="24" s="1"/>
  <c r="K172" i="24"/>
  <c r="AG172" i="24" s="1"/>
  <c r="K497" i="24"/>
  <c r="AG497" i="24" s="1"/>
  <c r="R56" i="24"/>
  <c r="AH56" i="24" s="1"/>
  <c r="K390" i="24"/>
  <c r="W390" i="24" s="1"/>
  <c r="K459" i="24"/>
  <c r="AG459" i="24" s="1"/>
  <c r="K440" i="24"/>
  <c r="AG440" i="24" s="1"/>
  <c r="K153" i="24"/>
  <c r="AG153" i="24" s="1"/>
  <c r="U172" i="24"/>
  <c r="AI172" i="24" s="1"/>
  <c r="K248" i="24"/>
  <c r="AG248" i="24" s="1"/>
  <c r="K362" i="24"/>
  <c r="AG362" i="24" s="1"/>
  <c r="K381" i="24"/>
  <c r="AG381" i="24" s="1"/>
  <c r="R400" i="24"/>
  <c r="AH400" i="24" s="1"/>
  <c r="R497" i="24"/>
  <c r="AH497" i="24" s="1"/>
  <c r="K516" i="24"/>
  <c r="AG516" i="24" s="1"/>
  <c r="R95" i="24"/>
  <c r="AH95" i="24" s="1"/>
  <c r="R133" i="24"/>
  <c r="AH133" i="24" s="1"/>
  <c r="K506" i="24"/>
  <c r="W506" i="24" s="1"/>
  <c r="K104" i="24"/>
  <c r="W104" i="24" s="1"/>
  <c r="K95" i="24"/>
  <c r="AG95" i="24" s="1"/>
  <c r="K133" i="24"/>
  <c r="AG133" i="24" s="1"/>
  <c r="U400" i="24"/>
  <c r="AI400" i="24" s="1"/>
  <c r="U440" i="24"/>
  <c r="AI440" i="24" s="1"/>
  <c r="U459" i="24"/>
  <c r="AI459" i="24" s="1"/>
  <c r="U497" i="24"/>
  <c r="AI497" i="24" s="1"/>
  <c r="R516" i="24"/>
  <c r="AH516" i="24" s="1"/>
  <c r="U153" i="24"/>
  <c r="AI153" i="24" s="1"/>
  <c r="K276" i="24"/>
  <c r="W276" i="24" s="1"/>
  <c r="K371" i="24"/>
  <c r="W371" i="24" s="1"/>
  <c r="U381" i="24"/>
  <c r="AI381" i="24" s="1"/>
  <c r="K487" i="24"/>
  <c r="W487" i="24" s="1"/>
  <c r="U76" i="24"/>
  <c r="AI76" i="24" s="1"/>
  <c r="U95" i="24"/>
  <c r="AI95" i="24" s="1"/>
  <c r="U133" i="24"/>
  <c r="AI133" i="24" s="1"/>
  <c r="K238" i="24"/>
  <c r="W238" i="24" s="1"/>
  <c r="K257" i="24"/>
  <c r="W257" i="24" s="1"/>
  <c r="K352" i="24"/>
  <c r="W352" i="24" s="1"/>
  <c r="U362" i="24"/>
  <c r="AI362" i="24" s="1"/>
  <c r="R440" i="24"/>
  <c r="AH440" i="24" s="1"/>
  <c r="U516" i="24"/>
  <c r="AI516" i="24" s="1"/>
  <c r="U56" i="24"/>
  <c r="AI56" i="24" s="1"/>
  <c r="K85" i="24"/>
  <c r="W85" i="24" s="1"/>
  <c r="R104" i="24"/>
  <c r="Y104" i="24" s="1"/>
  <c r="K123" i="24"/>
  <c r="W123" i="24" s="1"/>
  <c r="K142" i="24"/>
  <c r="W142" i="24" s="1"/>
  <c r="K162" i="24"/>
  <c r="W162" i="24" s="1"/>
  <c r="R238" i="24"/>
  <c r="Y238" i="24" s="1"/>
  <c r="R248" i="24"/>
  <c r="AH248" i="24" s="1"/>
  <c r="R257" i="24"/>
  <c r="Y257" i="24" s="1"/>
  <c r="K314" i="24"/>
  <c r="W314" i="24" s="1"/>
  <c r="K56" i="24"/>
  <c r="AG56" i="24" s="1"/>
  <c r="K65" i="24"/>
  <c r="R76" i="24"/>
  <c r="AH76" i="24" s="1"/>
  <c r="R85" i="24"/>
  <c r="Y85" i="24" s="1"/>
  <c r="R123" i="24"/>
  <c r="Y123" i="24" s="1"/>
  <c r="R142" i="24"/>
  <c r="Y142" i="24" s="1"/>
  <c r="R153" i="24"/>
  <c r="AH153" i="24" s="1"/>
  <c r="R162" i="24"/>
  <c r="Y162" i="24" s="1"/>
  <c r="U248" i="24"/>
  <c r="AI248" i="24" s="1"/>
  <c r="R314" i="24"/>
  <c r="Y314" i="24" s="1"/>
  <c r="D663" i="24"/>
  <c r="AE380" i="15"/>
  <c r="BJ187" i="15"/>
  <c r="BJ188" i="15"/>
  <c r="AE427" i="15"/>
  <c r="AK137" i="15"/>
  <c r="AL137" i="15"/>
  <c r="AM137" i="15"/>
  <c r="AN137" i="15"/>
  <c r="AO137" i="15"/>
  <c r="AP137" i="15"/>
  <c r="AQ137" i="15"/>
  <c r="AR137" i="15"/>
  <c r="AH137" i="15"/>
  <c r="AI137" i="15"/>
  <c r="AJ137" i="15"/>
  <c r="AN613" i="24" l="1"/>
  <c r="AO613" i="24"/>
  <c r="W65" i="24"/>
  <c r="AG155" i="24"/>
  <c r="AS37" i="24" l="1"/>
  <c r="D618" i="24"/>
  <c r="D598" i="24"/>
  <c r="D578" i="24"/>
  <c r="G561" i="24"/>
  <c r="F561" i="24"/>
  <c r="D561" i="24"/>
  <c r="C561" i="24"/>
  <c r="G560" i="24"/>
  <c r="F560" i="24"/>
  <c r="D560" i="24"/>
  <c r="C560" i="24"/>
  <c r="D558" i="24"/>
  <c r="AO560" i="24" l="1"/>
  <c r="AN560" i="24"/>
  <c r="AO561" i="24"/>
  <c r="AN561" i="24"/>
  <c r="H560" i="24"/>
  <c r="H561" i="24"/>
  <c r="K560" i="24"/>
  <c r="R560" i="24"/>
  <c r="R561" i="24"/>
  <c r="AH561" i="24" s="1"/>
  <c r="K561" i="24"/>
  <c r="AG561" i="24" s="1"/>
  <c r="D622" i="24"/>
  <c r="D602" i="24"/>
  <c r="AG562" i="24" l="1"/>
  <c r="AG560" i="24"/>
  <c r="AK562" i="24"/>
  <c r="AJ562" i="24"/>
  <c r="AL562" i="24"/>
  <c r="AM562" i="24"/>
  <c r="AH562" i="24"/>
  <c r="AH560" i="24"/>
  <c r="H562" i="24"/>
  <c r="D562" i="24" s="1"/>
  <c r="K582" i="24"/>
  <c r="W582" i="24" s="1"/>
  <c r="R582" i="24"/>
  <c r="Y582" i="24" s="1"/>
  <c r="R562" i="24"/>
  <c r="Y562" i="24" s="1"/>
  <c r="D582" i="24"/>
  <c r="K562" i="24"/>
  <c r="W562" i="24" s="1"/>
  <c r="D516" i="24"/>
  <c r="AS32" i="24"/>
  <c r="AS31" i="24"/>
  <c r="AS30" i="24"/>
  <c r="AS29" i="24"/>
  <c r="D393" i="24"/>
  <c r="AS28" i="24" s="1"/>
  <c r="AS27" i="24"/>
  <c r="AS26" i="24"/>
  <c r="AS25" i="24"/>
  <c r="AS24" i="24"/>
  <c r="AS23" i="24"/>
  <c r="AS22" i="24"/>
  <c r="AS21" i="24"/>
  <c r="AS20" i="24"/>
  <c r="AS19" i="24"/>
  <c r="AS18" i="24"/>
  <c r="AS17" i="24"/>
  <c r="AS14" i="24"/>
  <c r="AS12" i="24"/>
  <c r="AS11" i="24"/>
  <c r="AS10" i="24"/>
  <c r="Y78" i="19"/>
  <c r="B523" i="24" s="1"/>
  <c r="Y70" i="19"/>
  <c r="B466" i="24" s="1"/>
  <c r="Y67" i="19"/>
  <c r="B447" i="24" s="1"/>
  <c r="Y63" i="19"/>
  <c r="B428" i="24" s="1"/>
  <c r="Y59" i="19"/>
  <c r="B408" i="24" s="1"/>
  <c r="Y49" i="19"/>
  <c r="B331" i="24" s="1"/>
  <c r="Y91" i="19"/>
  <c r="B293" i="24" s="1"/>
  <c r="Y31" i="19"/>
  <c r="B217" i="24" s="1"/>
  <c r="Y28" i="19"/>
  <c r="B198" i="24" s="1"/>
  <c r="Y25" i="19"/>
  <c r="V78" i="19"/>
  <c r="D523" i="24" s="1"/>
  <c r="V70" i="19"/>
  <c r="D466" i="24" s="1"/>
  <c r="V67" i="19"/>
  <c r="D447" i="24" s="1"/>
  <c r="V63" i="19"/>
  <c r="D428" i="24" s="1"/>
  <c r="V59" i="19"/>
  <c r="D408" i="24" s="1"/>
  <c r="V49" i="19"/>
  <c r="D331" i="24" s="1"/>
  <c r="V91" i="19"/>
  <c r="D625" i="24" s="1"/>
  <c r="V31" i="19"/>
  <c r="D217" i="24" s="1"/>
  <c r="V28" i="19"/>
  <c r="D198" i="24" s="1"/>
  <c r="V25" i="19"/>
  <c r="D180" i="24" s="1"/>
  <c r="U78" i="19"/>
  <c r="C523" i="24" s="1"/>
  <c r="U70" i="19"/>
  <c r="C466" i="24" s="1"/>
  <c r="U67" i="19"/>
  <c r="C447" i="24" s="1"/>
  <c r="U63" i="19"/>
  <c r="C428" i="24" s="1"/>
  <c r="U59" i="19"/>
  <c r="C408" i="24" s="1"/>
  <c r="U49" i="19"/>
  <c r="C331" i="24" s="1"/>
  <c r="U91" i="19"/>
  <c r="C625" i="24" s="1"/>
  <c r="U31" i="19"/>
  <c r="C217" i="24" s="1"/>
  <c r="U28" i="19"/>
  <c r="C198" i="24" s="1"/>
  <c r="U25" i="19"/>
  <c r="C180" i="24" s="1"/>
  <c r="S78" i="19"/>
  <c r="B519" i="24" s="1"/>
  <c r="S70" i="19"/>
  <c r="S75" i="19"/>
  <c r="B499" i="24" s="1"/>
  <c r="S67" i="19"/>
  <c r="B442" i="24" s="1"/>
  <c r="S63" i="19"/>
  <c r="B423" i="24" s="1"/>
  <c r="S59" i="19"/>
  <c r="B402" i="24" s="1"/>
  <c r="S56" i="19"/>
  <c r="B383" i="24" s="1"/>
  <c r="S51" i="19"/>
  <c r="B345" i="24" s="1"/>
  <c r="S49" i="19"/>
  <c r="B326" i="24" s="1"/>
  <c r="S47" i="19"/>
  <c r="B308" i="24" s="1"/>
  <c r="S46" i="19"/>
  <c r="B307" i="24" s="1"/>
  <c r="S44" i="19"/>
  <c r="B289" i="24" s="1"/>
  <c r="S43" i="19"/>
  <c r="B288" i="24" s="1"/>
  <c r="S40" i="19"/>
  <c r="B269" i="24" s="1"/>
  <c r="S38" i="19"/>
  <c r="B251" i="24" s="1"/>
  <c r="S37" i="19"/>
  <c r="B250" i="24" s="1"/>
  <c r="S34" i="19"/>
  <c r="B231" i="24" s="1"/>
  <c r="S31" i="19"/>
  <c r="B212" i="24" s="1"/>
  <c r="S29" i="19"/>
  <c r="B194" i="24" s="1"/>
  <c r="S28" i="19"/>
  <c r="B193" i="24" s="1"/>
  <c r="S26" i="19"/>
  <c r="B175" i="24" s="1"/>
  <c r="S25" i="19"/>
  <c r="B174" i="24" s="1"/>
  <c r="S21" i="19"/>
  <c r="B155" i="24" s="1"/>
  <c r="S18" i="19"/>
  <c r="B135" i="24" s="1"/>
  <c r="S16" i="19"/>
  <c r="B116" i="24" s="1"/>
  <c r="S14" i="19"/>
  <c r="B97" i="24" s="1"/>
  <c r="S11" i="19"/>
  <c r="B78" i="24" s="1"/>
  <c r="S9" i="19"/>
  <c r="B59" i="24" s="1"/>
  <c r="S8" i="19"/>
  <c r="B58" i="24" s="1"/>
  <c r="P67" i="19"/>
  <c r="D442" i="24" s="1"/>
  <c r="P63" i="19"/>
  <c r="D423" i="24" s="1"/>
  <c r="P56" i="19"/>
  <c r="D383" i="24" s="1"/>
  <c r="P51" i="19"/>
  <c r="D345" i="24" s="1"/>
  <c r="P49" i="19"/>
  <c r="D326" i="24" s="1"/>
  <c r="P47" i="19"/>
  <c r="D308" i="24" s="1"/>
  <c r="P46" i="19"/>
  <c r="D307" i="24" s="1"/>
  <c r="P44" i="19"/>
  <c r="D289" i="24" s="1"/>
  <c r="P43" i="19"/>
  <c r="D288" i="24" s="1"/>
  <c r="P40" i="19"/>
  <c r="D269" i="24" s="1"/>
  <c r="P38" i="19"/>
  <c r="D251" i="24" s="1"/>
  <c r="P37" i="19"/>
  <c r="D250" i="24" s="1"/>
  <c r="P34" i="19"/>
  <c r="D231" i="24" s="1"/>
  <c r="P31" i="19"/>
  <c r="D212" i="24" s="1"/>
  <c r="P29" i="19"/>
  <c r="D194" i="24" s="1"/>
  <c r="P28" i="19"/>
  <c r="D193" i="24" s="1"/>
  <c r="P26" i="19"/>
  <c r="D175" i="24" s="1"/>
  <c r="P25" i="19"/>
  <c r="D174" i="24" s="1"/>
  <c r="P21" i="19"/>
  <c r="D155" i="24" s="1"/>
  <c r="P18" i="19"/>
  <c r="D135" i="24" s="1"/>
  <c r="P16" i="19"/>
  <c r="D116" i="24" s="1"/>
  <c r="P14" i="19"/>
  <c r="D97" i="24" s="1"/>
  <c r="P11" i="19"/>
  <c r="D78" i="24" s="1"/>
  <c r="P9" i="19"/>
  <c r="D59" i="24" s="1"/>
  <c r="P8" i="19"/>
  <c r="D58" i="24" s="1"/>
  <c r="P78" i="19"/>
  <c r="D519" i="24" s="1"/>
  <c r="O78" i="19"/>
  <c r="C519" i="24" s="1"/>
  <c r="O73" i="19"/>
  <c r="C480" i="24" s="1"/>
  <c r="O67" i="19"/>
  <c r="C442" i="24" s="1"/>
  <c r="O63" i="19"/>
  <c r="C423" i="24" s="1"/>
  <c r="O56" i="19"/>
  <c r="C383" i="24" s="1"/>
  <c r="O51" i="19"/>
  <c r="C345" i="24" s="1"/>
  <c r="O49" i="19"/>
  <c r="C326" i="24" s="1"/>
  <c r="O47" i="19"/>
  <c r="C308" i="24" s="1"/>
  <c r="O46" i="19"/>
  <c r="C307" i="24" s="1"/>
  <c r="O44" i="19"/>
  <c r="C289" i="24" s="1"/>
  <c r="O43" i="19"/>
  <c r="C288" i="24" s="1"/>
  <c r="O40" i="19"/>
  <c r="C269" i="24" s="1"/>
  <c r="O38" i="19"/>
  <c r="C251" i="24" s="1"/>
  <c r="O37" i="19"/>
  <c r="C250" i="24" s="1"/>
  <c r="O34" i="19"/>
  <c r="C231" i="24" s="1"/>
  <c r="O31" i="19"/>
  <c r="C212" i="24" s="1"/>
  <c r="O29" i="19"/>
  <c r="C194" i="24" s="1"/>
  <c r="O28" i="19"/>
  <c r="C193" i="24" s="1"/>
  <c r="O26" i="19"/>
  <c r="C175" i="24" s="1"/>
  <c r="O25" i="19"/>
  <c r="C174" i="24" s="1"/>
  <c r="O21" i="19"/>
  <c r="C155" i="24" s="1"/>
  <c r="O18" i="19"/>
  <c r="C135" i="24" s="1"/>
  <c r="O16" i="19"/>
  <c r="C116" i="24" s="1"/>
  <c r="O14" i="19"/>
  <c r="C97" i="24" s="1"/>
  <c r="O11" i="19"/>
  <c r="C78" i="24" s="1"/>
  <c r="O9" i="19"/>
  <c r="C59" i="24" s="1"/>
  <c r="O8" i="19"/>
  <c r="C58" i="24" s="1"/>
  <c r="M73" i="19"/>
  <c r="B476" i="24" s="1"/>
  <c r="M63" i="19"/>
  <c r="B418" i="24" s="1"/>
  <c r="J73" i="19"/>
  <c r="D476" i="24" s="1"/>
  <c r="J63" i="19"/>
  <c r="D418" i="24" s="1"/>
  <c r="I73" i="19"/>
  <c r="C476" i="24" s="1"/>
  <c r="I63" i="19"/>
  <c r="C418" i="24" s="1"/>
  <c r="B341" i="24"/>
  <c r="M49" i="19"/>
  <c r="B322" i="24" s="1"/>
  <c r="M46" i="19"/>
  <c r="M43" i="19"/>
  <c r="M40" i="19"/>
  <c r="B265" i="24" s="1"/>
  <c r="J52" i="19"/>
  <c r="D341" i="24" s="1"/>
  <c r="J49" i="19"/>
  <c r="D322" i="24" s="1"/>
  <c r="J46" i="19"/>
  <c r="D303" i="24" s="1"/>
  <c r="J43" i="19"/>
  <c r="D284" i="24" s="1"/>
  <c r="J40" i="19"/>
  <c r="D265" i="24" s="1"/>
  <c r="I52" i="19"/>
  <c r="C341" i="24" s="1"/>
  <c r="I49" i="19"/>
  <c r="C322" i="24" s="1"/>
  <c r="I46" i="19"/>
  <c r="C303" i="24" s="1"/>
  <c r="I43" i="19"/>
  <c r="C284" i="24" s="1"/>
  <c r="I40" i="19"/>
  <c r="C265" i="24" s="1"/>
  <c r="M34" i="19"/>
  <c r="B227" i="24" s="1"/>
  <c r="M32" i="19"/>
  <c r="B209" i="24" s="1"/>
  <c r="M31" i="19"/>
  <c r="B208" i="24" s="1"/>
  <c r="J31" i="19"/>
  <c r="D208" i="24" s="1"/>
  <c r="J32" i="19"/>
  <c r="D209" i="24" s="1"/>
  <c r="J34" i="19"/>
  <c r="D227" i="24" s="1"/>
  <c r="I34" i="19"/>
  <c r="C227" i="24" s="1"/>
  <c r="I32" i="19"/>
  <c r="C209" i="24" s="1"/>
  <c r="I31" i="19"/>
  <c r="C208" i="24" s="1"/>
  <c r="I28" i="19"/>
  <c r="C189" i="24" s="1"/>
  <c r="M16" i="19"/>
  <c r="B112" i="24" s="1"/>
  <c r="J16" i="19"/>
  <c r="D112" i="24" s="1"/>
  <c r="I16" i="19"/>
  <c r="C112" i="24" s="1"/>
  <c r="G78" i="19"/>
  <c r="B511" i="24" s="1"/>
  <c r="G76" i="19"/>
  <c r="B493" i="24" s="1"/>
  <c r="G75" i="19"/>
  <c r="B492" i="24" s="1"/>
  <c r="G73" i="19"/>
  <c r="B473" i="24" s="1"/>
  <c r="G71" i="19"/>
  <c r="B455" i="24" s="1"/>
  <c r="G70" i="19"/>
  <c r="B454" i="24" s="1"/>
  <c r="G67" i="19"/>
  <c r="B435" i="24" s="1"/>
  <c r="G63" i="19"/>
  <c r="B415" i="24" s="1"/>
  <c r="G59" i="19"/>
  <c r="B395" i="24" s="1"/>
  <c r="G56" i="19"/>
  <c r="B376" i="24" s="1"/>
  <c r="G54" i="19"/>
  <c r="B357" i="24" s="1"/>
  <c r="G52" i="19"/>
  <c r="B339" i="24" s="1"/>
  <c r="G51" i="19"/>
  <c r="B338" i="24" s="1"/>
  <c r="G49" i="19"/>
  <c r="B319" i="24" s="1"/>
  <c r="G47" i="19"/>
  <c r="B301" i="24" s="1"/>
  <c r="G46" i="19"/>
  <c r="B300" i="24" s="1"/>
  <c r="G44" i="19"/>
  <c r="B282" i="24" s="1"/>
  <c r="G43" i="19"/>
  <c r="B281" i="24" s="1"/>
  <c r="G40" i="19"/>
  <c r="B262" i="24" s="1"/>
  <c r="G37" i="19"/>
  <c r="B243" i="24" s="1"/>
  <c r="G35" i="19"/>
  <c r="B225" i="24" s="1"/>
  <c r="G34" i="19"/>
  <c r="B224" i="24" s="1"/>
  <c r="G31" i="19"/>
  <c r="B205" i="24" s="1"/>
  <c r="G28" i="19"/>
  <c r="B186" i="24" s="1"/>
  <c r="G25" i="19"/>
  <c r="B167" i="24" s="1"/>
  <c r="G23" i="19"/>
  <c r="B149" i="24" s="1"/>
  <c r="G22" i="19"/>
  <c r="B148" i="24" s="1"/>
  <c r="G21" i="19"/>
  <c r="B147" i="24" s="1"/>
  <c r="G19" i="19"/>
  <c r="B129" i="24" s="1"/>
  <c r="G18" i="19"/>
  <c r="B128" i="24" s="1"/>
  <c r="G16" i="19"/>
  <c r="B109" i="24" s="1"/>
  <c r="G14" i="19"/>
  <c r="B90" i="24" s="1"/>
  <c r="G12" i="19"/>
  <c r="B72" i="24" s="1"/>
  <c r="G11" i="19"/>
  <c r="B71" i="24" s="1"/>
  <c r="G8" i="19"/>
  <c r="B51" i="24" s="1"/>
  <c r="D78" i="19"/>
  <c r="D511" i="24" s="1"/>
  <c r="D76" i="19"/>
  <c r="D493" i="24" s="1"/>
  <c r="D75" i="19"/>
  <c r="D492" i="24" s="1"/>
  <c r="D73" i="19"/>
  <c r="D473" i="24" s="1"/>
  <c r="D71" i="19"/>
  <c r="D455" i="24" s="1"/>
  <c r="D70" i="19"/>
  <c r="D454" i="24" s="1"/>
  <c r="D67" i="19"/>
  <c r="D435" i="24" s="1"/>
  <c r="D63" i="19"/>
  <c r="D415" i="24" s="1"/>
  <c r="D59" i="19"/>
  <c r="D395" i="24" s="1"/>
  <c r="D56" i="19"/>
  <c r="D376" i="24" s="1"/>
  <c r="D54" i="19"/>
  <c r="D52" i="19"/>
  <c r="D339" i="24" s="1"/>
  <c r="D51" i="19"/>
  <c r="D338" i="24" s="1"/>
  <c r="D49" i="19"/>
  <c r="D319" i="24" s="1"/>
  <c r="D47" i="19"/>
  <c r="D301" i="24" s="1"/>
  <c r="D46" i="19"/>
  <c r="D300" i="24" s="1"/>
  <c r="D44" i="19"/>
  <c r="D282" i="24" s="1"/>
  <c r="D43" i="19"/>
  <c r="D281" i="24" s="1"/>
  <c r="D40" i="19"/>
  <c r="D262" i="24" s="1"/>
  <c r="D37" i="19"/>
  <c r="D243" i="24" s="1"/>
  <c r="D35" i="19"/>
  <c r="D225" i="24" s="1"/>
  <c r="D34" i="19"/>
  <c r="D224" i="24" s="1"/>
  <c r="D31" i="19"/>
  <c r="D205" i="24" s="1"/>
  <c r="D28" i="19"/>
  <c r="D186" i="24" s="1"/>
  <c r="D25" i="19"/>
  <c r="D167" i="24" s="1"/>
  <c r="D23" i="19"/>
  <c r="D149" i="24" s="1"/>
  <c r="D22" i="19"/>
  <c r="D148" i="24" s="1"/>
  <c r="D21" i="19"/>
  <c r="D147" i="24" s="1"/>
  <c r="D19" i="19"/>
  <c r="D129" i="24" s="1"/>
  <c r="D18" i="19"/>
  <c r="D128" i="24" s="1"/>
  <c r="D12" i="19"/>
  <c r="D72" i="24" s="1"/>
  <c r="D11" i="19"/>
  <c r="D71" i="24" s="1"/>
  <c r="D8" i="19"/>
  <c r="D51" i="24" s="1"/>
  <c r="C78" i="19"/>
  <c r="C511" i="24" s="1"/>
  <c r="C76" i="19"/>
  <c r="C493" i="24" s="1"/>
  <c r="C75" i="19"/>
  <c r="C492" i="24" s="1"/>
  <c r="C73" i="19"/>
  <c r="C473" i="24" s="1"/>
  <c r="C71" i="19"/>
  <c r="C455" i="24" s="1"/>
  <c r="C70" i="19"/>
  <c r="C454" i="24" s="1"/>
  <c r="C67" i="19"/>
  <c r="C435" i="24" s="1"/>
  <c r="C63" i="19"/>
  <c r="C415" i="24" s="1"/>
  <c r="C59" i="19"/>
  <c r="C395" i="24" s="1"/>
  <c r="C56" i="19"/>
  <c r="C376" i="24" s="1"/>
  <c r="C54" i="19"/>
  <c r="C357" i="24" s="1"/>
  <c r="C52" i="19"/>
  <c r="C339" i="24" s="1"/>
  <c r="C51" i="19"/>
  <c r="C338" i="24" s="1"/>
  <c r="C49" i="19"/>
  <c r="C319" i="24" s="1"/>
  <c r="C47" i="19"/>
  <c r="C301" i="24" s="1"/>
  <c r="C46" i="19"/>
  <c r="C300" i="24" s="1"/>
  <c r="C44" i="19"/>
  <c r="C282" i="24" s="1"/>
  <c r="C43" i="19"/>
  <c r="C281" i="24" s="1"/>
  <c r="C40" i="19"/>
  <c r="C262" i="24" s="1"/>
  <c r="C37" i="19"/>
  <c r="C243" i="24" s="1"/>
  <c r="C35" i="19"/>
  <c r="C225" i="24" s="1"/>
  <c r="C34" i="19"/>
  <c r="C224" i="24" s="1"/>
  <c r="C31" i="19"/>
  <c r="C205" i="24" s="1"/>
  <c r="C28" i="19"/>
  <c r="C186" i="24" s="1"/>
  <c r="C25" i="19"/>
  <c r="C167" i="24" s="1"/>
  <c r="C23" i="19"/>
  <c r="C149" i="24" s="1"/>
  <c r="C22" i="19"/>
  <c r="C148" i="24" s="1"/>
  <c r="C21" i="19"/>
  <c r="C147" i="24" s="1"/>
  <c r="C19" i="19"/>
  <c r="C129" i="24" s="1"/>
  <c r="C18" i="19"/>
  <c r="C128" i="24" s="1"/>
  <c r="C12" i="19"/>
  <c r="C72" i="24" s="1"/>
  <c r="C11" i="19"/>
  <c r="C71" i="24" s="1"/>
  <c r="C8" i="19"/>
  <c r="C51"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406" i="15"/>
  <c r="A407" i="15"/>
  <c r="A416" i="15"/>
  <c r="A417" i="15"/>
  <c r="A418" i="15"/>
  <c r="A419" i="15"/>
  <c r="A420" i="15"/>
  <c r="A421" i="15"/>
  <c r="A422" i="15"/>
  <c r="A423" i="15"/>
  <c r="B24" i="31" s="1"/>
  <c r="A424" i="15"/>
  <c r="A425" i="15"/>
  <c r="A426" i="15"/>
  <c r="A394" i="15"/>
  <c r="A387" i="15"/>
  <c r="A338" i="15"/>
  <c r="A321" i="15"/>
  <c r="A322" i="15"/>
  <c r="A323" i="15"/>
  <c r="A324" i="15"/>
  <c r="A271" i="15"/>
  <c r="A325" i="15"/>
  <c r="A326" i="15"/>
  <c r="A327" i="15"/>
  <c r="A328" i="15"/>
  <c r="A329" i="15"/>
  <c r="A330" i="15"/>
  <c r="A320" i="15"/>
  <c r="A310" i="15"/>
  <c r="A312" i="15"/>
  <c r="A313" i="15"/>
  <c r="A302" i="15"/>
  <c r="A303" i="15"/>
  <c r="A304" i="15"/>
  <c r="A305" i="15"/>
  <c r="A306" i="15"/>
  <c r="A307" i="15"/>
  <c r="A308" i="15"/>
  <c r="A309" i="15"/>
  <c r="A286" i="15"/>
  <c r="A287" i="15"/>
  <c r="A288" i="15"/>
  <c r="A289" i="15"/>
  <c r="A290" i="15"/>
  <c r="A296" i="15"/>
  <c r="A297" i="15"/>
  <c r="A298" i="15"/>
  <c r="A299" i="15"/>
  <c r="A300" i="15"/>
  <c r="A279" i="15"/>
  <c r="A280" i="15"/>
  <c r="A281" i="15"/>
  <c r="A282" i="15"/>
  <c r="A283" i="15"/>
  <c r="A284" i="15"/>
  <c r="A311" i="15"/>
  <c r="A285" i="15"/>
  <c r="A278" i="15"/>
  <c r="A268" i="15"/>
  <c r="A269" i="15"/>
  <c r="A270" i="15"/>
  <c r="A272" i="15"/>
  <c r="A273" i="15"/>
  <c r="A267" i="15"/>
  <c r="A264" i="15"/>
  <c r="A265" i="15"/>
  <c r="A263" i="15"/>
  <c r="A244" i="15"/>
  <c r="A245" i="15"/>
  <c r="A246" i="15"/>
  <c r="A247" i="15"/>
  <c r="A248" i="15"/>
  <c r="A249" i="15"/>
  <c r="A250" i="15"/>
  <c r="B15" i="31" s="1"/>
  <c r="A251" i="15"/>
  <c r="A243" i="15"/>
  <c r="A235" i="15"/>
  <c r="A236" i="15"/>
  <c r="B24" i="17" s="1"/>
  <c r="A237" i="15"/>
  <c r="A234" i="15"/>
  <c r="A231" i="15"/>
  <c r="A217" i="15"/>
  <c r="A218" i="15"/>
  <c r="A219" i="15"/>
  <c r="A220" i="15"/>
  <c r="A222" i="15"/>
  <c r="A216" i="15"/>
  <c r="A207" i="15"/>
  <c r="A208" i="15"/>
  <c r="A210" i="15"/>
  <c r="A211" i="15"/>
  <c r="A212" i="15"/>
  <c r="A198" i="15"/>
  <c r="A199" i="15"/>
  <c r="B22" i="31" s="1"/>
  <c r="A200" i="15"/>
  <c r="B23" i="31" s="1"/>
  <c r="A201" i="15"/>
  <c r="A202" i="15"/>
  <c r="A204" i="15"/>
  <c r="B21" i="17" s="1"/>
  <c r="A203" i="15"/>
  <c r="B20" i="17" s="1"/>
  <c r="A205" i="15"/>
  <c r="A206" i="15"/>
  <c r="A188" i="15"/>
  <c r="B23" i="17" s="1"/>
  <c r="A189" i="15"/>
  <c r="B19" i="17" s="1"/>
  <c r="A190" i="15"/>
  <c r="A191" i="15"/>
  <c r="A192" i="15"/>
  <c r="A193" i="15"/>
  <c r="A194" i="15"/>
  <c r="A195" i="15"/>
  <c r="A196" i="15"/>
  <c r="A197" i="15"/>
  <c r="A177" i="15"/>
  <c r="A178" i="15"/>
  <c r="A179" i="15"/>
  <c r="A180" i="15"/>
  <c r="A181" i="15"/>
  <c r="A182" i="15"/>
  <c r="A183" i="15"/>
  <c r="A184" i="15"/>
  <c r="A185" i="15"/>
  <c r="A186" i="15"/>
  <c r="A187" i="15"/>
  <c r="B18" i="17" s="1"/>
  <c r="A171" i="15"/>
  <c r="A172" i="15"/>
  <c r="A173" i="15"/>
  <c r="A174" i="15"/>
  <c r="A175" i="15"/>
  <c r="A176" i="15"/>
  <c r="A170" i="15"/>
  <c r="A166" i="15"/>
  <c r="B29" i="31" s="1"/>
  <c r="A167" i="15"/>
  <c r="B35" i="31" s="1"/>
  <c r="A165" i="15"/>
  <c r="A163" i="15"/>
  <c r="A155" i="15"/>
  <c r="A156" i="15"/>
  <c r="A157" i="15"/>
  <c r="A154" i="15"/>
  <c r="A150" i="15"/>
  <c r="A151" i="15"/>
  <c r="A152" i="15"/>
  <c r="A149" i="15"/>
  <c r="A135" i="15"/>
  <c r="A136" i="15"/>
  <c r="A137" i="15"/>
  <c r="A138" i="15"/>
  <c r="A139" i="15"/>
  <c r="A140" i="15"/>
  <c r="A141" i="15"/>
  <c r="A134" i="15"/>
  <c r="A115" i="15"/>
  <c r="A113" i="15"/>
  <c r="A114" i="15"/>
  <c r="A123" i="15"/>
  <c r="A124" i="15"/>
  <c r="A125" i="15"/>
  <c r="A126" i="15"/>
  <c r="A112" i="15"/>
  <c r="A105" i="15"/>
  <c r="B13" i="17" s="1"/>
  <c r="A106" i="15"/>
  <c r="A107" i="15"/>
  <c r="B14" i="17" s="1"/>
  <c r="A104" i="15"/>
  <c r="A99" i="15"/>
  <c r="A102" i="15"/>
  <c r="A100" i="15"/>
  <c r="A101" i="15"/>
  <c r="B28"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R322" i="15"/>
  <c r="R323" i="15"/>
  <c r="R324" i="15"/>
  <c r="R271" i="15"/>
  <c r="R325" i="15"/>
  <c r="R326" i="15"/>
  <c r="R327" i="15"/>
  <c r="R328" i="15"/>
  <c r="R329" i="15"/>
  <c r="R305" i="15"/>
  <c r="R306" i="15"/>
  <c r="R307" i="15"/>
  <c r="R308" i="15"/>
  <c r="R309" i="15"/>
  <c r="R310" i="15"/>
  <c r="B311" i="15" s="1"/>
  <c r="D163" i="15"/>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D283" i="15"/>
  <c r="C329" i="15"/>
  <c r="D105" i="15"/>
  <c r="D106" i="15"/>
  <c r="D107" i="15"/>
  <c r="D104" i="15"/>
  <c r="R203" i="15"/>
  <c r="R204" i="15"/>
  <c r="R202" i="15"/>
  <c r="R201" i="15"/>
  <c r="C203" i="15"/>
  <c r="D203" i="15"/>
  <c r="D124" i="15"/>
  <c r="D123" i="15"/>
  <c r="C123" i="15"/>
  <c r="C113" i="15"/>
  <c r="D113" i="15"/>
  <c r="C114" i="15"/>
  <c r="D114" i="15"/>
  <c r="C112" i="15"/>
  <c r="D99" i="15"/>
  <c r="D102" i="15"/>
  <c r="D100" i="15"/>
  <c r="D101" i="15"/>
  <c r="C107" i="15"/>
  <c r="B40" i="15"/>
  <c r="B10" i="34" s="1"/>
  <c r="B34" i="15"/>
  <c r="B9" i="34" s="1"/>
  <c r="B16" i="15"/>
  <c r="B6" i="34" s="1"/>
  <c r="D357" i="24" l="1"/>
  <c r="L21" i="44"/>
  <c r="A21" i="44" s="1"/>
  <c r="F19" i="39"/>
  <c r="N19" i="39" s="1"/>
  <c r="X93" i="19"/>
  <c r="G645" i="24" s="1"/>
  <c r="B286" i="34"/>
  <c r="A212" i="24"/>
  <c r="B284" i="24"/>
  <c r="B303" i="24"/>
  <c r="AO615" i="24"/>
  <c r="AN615" i="24"/>
  <c r="H198" i="24"/>
  <c r="AY34" i="24"/>
  <c r="AI594" i="34" s="1"/>
  <c r="AS34" i="24"/>
  <c r="B101" i="15"/>
  <c r="B188" i="15"/>
  <c r="B169" i="34" s="1"/>
  <c r="B187" i="15"/>
  <c r="B168" i="34" s="1"/>
  <c r="B189" i="15"/>
  <c r="B170" i="34" s="1"/>
  <c r="B328" i="15"/>
  <c r="B327" i="15"/>
  <c r="B105" i="15"/>
  <c r="B55" i="34" s="1"/>
  <c r="B323" i="15"/>
  <c r="B202" i="15"/>
  <c r="B204" i="15"/>
  <c r="B185" i="34" s="1"/>
  <c r="B203" i="15"/>
  <c r="B184" i="34" s="1"/>
  <c r="B128" i="15"/>
  <c r="B97" i="34" s="1"/>
  <c r="B129" i="15"/>
  <c r="B132" i="15"/>
  <c r="B131" i="15"/>
  <c r="B130" i="15"/>
  <c r="B133" i="15"/>
  <c r="U198" i="24"/>
  <c r="R198" i="24"/>
  <c r="K198" i="24"/>
  <c r="B17" i="17"/>
  <c r="B22" i="17"/>
  <c r="E516" i="24"/>
  <c r="Q100" i="15"/>
  <c r="E51" i="34" s="1"/>
  <c r="Q101" i="15"/>
  <c r="E52" i="34" s="1"/>
  <c r="D323" i="15"/>
  <c r="H645" i="24" l="1"/>
  <c r="AJ645" i="24"/>
  <c r="AJ647" i="24" s="1"/>
  <c r="AJ648" i="24" s="1"/>
  <c r="AK645" i="24"/>
  <c r="AK647" i="24" s="1"/>
  <c r="AK648" i="24" s="1"/>
  <c r="AN645" i="24"/>
  <c r="AN647" i="24" s="1"/>
  <c r="AN648" i="24" s="1"/>
  <c r="AO645" i="24"/>
  <c r="AO647" i="24" s="1"/>
  <c r="AO648" i="24" s="1"/>
  <c r="N21" i="44"/>
  <c r="R21" i="44" s="1"/>
  <c r="B52" i="34"/>
  <c r="E33" i="20"/>
  <c r="B296" i="34"/>
  <c r="A442" i="24"/>
  <c r="B183" i="34"/>
  <c r="A339" i="24"/>
  <c r="B297" i="34"/>
  <c r="A461" i="24"/>
  <c r="AO212" i="24"/>
  <c r="AK212" i="24"/>
  <c r="AN212" i="24"/>
  <c r="AJ212" i="24"/>
  <c r="AM212" i="24"/>
  <c r="AL212" i="24"/>
  <c r="B292" i="34"/>
  <c r="A762" i="24"/>
  <c r="AG198" i="24"/>
  <c r="AG200" i="24" s="1"/>
  <c r="AJ200" i="24"/>
  <c r="AI198" i="24"/>
  <c r="AI200" i="24" s="1"/>
  <c r="AK200" i="24"/>
  <c r="AN200" i="24"/>
  <c r="AH198" i="24"/>
  <c r="AH200" i="24" s="1"/>
  <c r="AM200" i="24"/>
  <c r="AL200" i="24"/>
  <c r="H200" i="24"/>
  <c r="AO200" i="24"/>
  <c r="R200" i="24"/>
  <c r="Y200" i="24" s="1"/>
  <c r="U200" i="24"/>
  <c r="AA200" i="24" s="1"/>
  <c r="K200" i="24"/>
  <c r="W200" i="24" s="1"/>
  <c r="B98" i="34"/>
  <c r="B99" i="34" s="1"/>
  <c r="B100" i="34" s="1"/>
  <c r="B101" i="34" s="1"/>
  <c r="AY11" i="14"/>
  <c r="AY10" i="14"/>
  <c r="AY9" i="14"/>
  <c r="AY7" i="14"/>
  <c r="AY5" i="14"/>
  <c r="AY4" i="14"/>
  <c r="AY3" i="14"/>
  <c r="AY2" i="14"/>
  <c r="Q27" i="44" l="1"/>
  <c r="S21" i="44" s="1"/>
  <c r="B76" i="45" s="1"/>
  <c r="AD21" i="44"/>
  <c r="C457" i="34" s="1"/>
  <c r="H647" i="24"/>
  <c r="AG645" i="24"/>
  <c r="AG647" i="24" s="1"/>
  <c r="AG648" i="24" s="1"/>
  <c r="AI645" i="24"/>
  <c r="AI647" i="24" s="1"/>
  <c r="AI648" i="24" s="1"/>
  <c r="AN339" i="24"/>
  <c r="AJ339" i="24"/>
  <c r="AM339" i="24"/>
  <c r="AM340" i="24" s="1"/>
  <c r="AL339" i="24"/>
  <c r="AL340" i="24" s="1"/>
  <c r="AO339" i="24"/>
  <c r="AK339" i="24"/>
  <c r="AN762" i="24"/>
  <c r="AJ762" i="24"/>
  <c r="AM762" i="24"/>
  <c r="AL762" i="24"/>
  <c r="AO762" i="24"/>
  <c r="AK762" i="24"/>
  <c r="AL461" i="24"/>
  <c r="AO461" i="24"/>
  <c r="AK461" i="24"/>
  <c r="AN461" i="24"/>
  <c r="AJ461" i="24"/>
  <c r="AM461" i="24"/>
  <c r="AL442" i="24"/>
  <c r="AO442" i="24"/>
  <c r="AK442" i="24"/>
  <c r="AN442" i="24"/>
  <c r="AJ442" i="24"/>
  <c r="AM442" i="24"/>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E37" i="44" s="1"/>
  <c r="A37" i="44" s="1"/>
  <c r="C250" i="15"/>
  <c r="D250" i="15"/>
  <c r="R183" i="15"/>
  <c r="B184" i="15" s="1"/>
  <c r="B183" i="15"/>
  <c r="B164" i="34" s="1"/>
  <c r="C183" i="15"/>
  <c r="C184" i="15"/>
  <c r="S25" i="44" l="1"/>
  <c r="B80" i="45" s="1"/>
  <c r="S24" i="44"/>
  <c r="B79" i="45" s="1"/>
  <c r="S20" i="44"/>
  <c r="B75" i="45" s="1"/>
  <c r="S22" i="44"/>
  <c r="B77" i="45" s="1"/>
  <c r="S23" i="44"/>
  <c r="B78" i="45" s="1"/>
  <c r="S19" i="44"/>
  <c r="B74" i="45" s="1"/>
  <c r="S26" i="44"/>
  <c r="B81" i="45" s="1"/>
  <c r="D457" i="34"/>
  <c r="E457" i="34"/>
  <c r="G37" i="44"/>
  <c r="R37" i="44" s="1"/>
  <c r="B165" i="34"/>
  <c r="A473" i="24"/>
  <c r="F70" i="19"/>
  <c r="G454" i="24" s="1"/>
  <c r="F13" i="31"/>
  <c r="B426" i="15"/>
  <c r="Q116" i="16"/>
  <c r="Q112" i="16"/>
  <c r="Q108" i="16"/>
  <c r="Q115" i="16"/>
  <c r="Q111" i="16"/>
  <c r="Q107" i="16"/>
  <c r="Q114" i="16"/>
  <c r="Q110" i="16"/>
  <c r="Q113" i="16"/>
  <c r="Q109" i="16"/>
  <c r="AC37" i="44" l="1"/>
  <c r="C469" i="34" s="1"/>
  <c r="AK454" i="24"/>
  <c r="AJ454" i="24"/>
  <c r="AL473" i="24"/>
  <c r="AL475" i="24" s="1"/>
  <c r="AO473" i="24"/>
  <c r="AO475" i="24" s="1"/>
  <c r="AK473" i="24"/>
  <c r="AK475" i="24" s="1"/>
  <c r="AN473" i="24"/>
  <c r="AN475" i="24" s="1"/>
  <c r="AJ473" i="24"/>
  <c r="AJ475" i="24" s="1"/>
  <c r="AM473" i="24"/>
  <c r="AM475" i="24" s="1"/>
  <c r="B379" i="34"/>
  <c r="A476" i="24"/>
  <c r="A78" i="16"/>
  <c r="AY33" i="24"/>
  <c r="AI593" i="34" s="1"/>
  <c r="AY32" i="24"/>
  <c r="AI592" i="34" s="1"/>
  <c r="AY31" i="24"/>
  <c r="AI591" i="34" s="1"/>
  <c r="AY30" i="24"/>
  <c r="AI590" i="34" s="1"/>
  <c r="AY29" i="24"/>
  <c r="AI589" i="34" s="1"/>
  <c r="AY28" i="24"/>
  <c r="AI588" i="34" s="1"/>
  <c r="AY27" i="24"/>
  <c r="AI587" i="34" s="1"/>
  <c r="AY26" i="24"/>
  <c r="AI586" i="34" s="1"/>
  <c r="AY25" i="24"/>
  <c r="AI585" i="34" s="1"/>
  <c r="AY24" i="24"/>
  <c r="AI584" i="34" s="1"/>
  <c r="AY23" i="24"/>
  <c r="AI583" i="34" s="1"/>
  <c r="AY22" i="24"/>
  <c r="AI582" i="34" s="1"/>
  <c r="AY21" i="24"/>
  <c r="AI581" i="34" s="1"/>
  <c r="AY20" i="24"/>
  <c r="AI580" i="34" s="1"/>
  <c r="AY19" i="24"/>
  <c r="AI579" i="34" s="1"/>
  <c r="AY18" i="24"/>
  <c r="AI578" i="34" s="1"/>
  <c r="AY17" i="24"/>
  <c r="AI577" i="34" s="1"/>
  <c r="AY16" i="24"/>
  <c r="AI576" i="34" s="1"/>
  <c r="AY15" i="24"/>
  <c r="AI575" i="34" s="1"/>
  <c r="AY14" i="24"/>
  <c r="AI574" i="34" s="1"/>
  <c r="AY13" i="24"/>
  <c r="AI573" i="34" s="1"/>
  <c r="AY12" i="24"/>
  <c r="AI572" i="34" s="1"/>
  <c r="AY11" i="24"/>
  <c r="AI571" i="34" s="1"/>
  <c r="AI570" i="34"/>
  <c r="D422" i="15"/>
  <c r="C422" i="15"/>
  <c r="C305" i="15"/>
  <c r="D305" i="15"/>
  <c r="D469" i="34" l="1"/>
  <c r="E469" i="34"/>
  <c r="AL476" i="24"/>
  <c r="AL478" i="24" s="1"/>
  <c r="AO476" i="24"/>
  <c r="AK476" i="24"/>
  <c r="AN476" i="24"/>
  <c r="AJ476" i="24"/>
  <c r="AM476" i="24"/>
  <c r="AM478" i="24" s="1"/>
  <c r="AK324" i="24"/>
  <c r="AJ324" i="24"/>
  <c r="AM324" i="24"/>
  <c r="AL324" i="24"/>
  <c r="A61" i="16"/>
  <c r="A69" i="16"/>
  <c r="A58" i="16"/>
  <c r="A65" i="16"/>
  <c r="A73" i="16"/>
  <c r="A77" i="16"/>
  <c r="A54" i="16"/>
  <c r="A62" i="16"/>
  <c r="A66" i="16"/>
  <c r="A70" i="16"/>
  <c r="A55" i="16"/>
  <c r="A63" i="16"/>
  <c r="A71" i="16"/>
  <c r="A75" i="16"/>
  <c r="A57" i="16"/>
  <c r="A74" i="16"/>
  <c r="A59" i="16"/>
  <c r="A67" i="16"/>
  <c r="A56" i="16"/>
  <c r="A60" i="16"/>
  <c r="A64" i="16"/>
  <c r="A68" i="16"/>
  <c r="A72" i="16"/>
  <c r="A76" i="16"/>
  <c r="Q103" i="16"/>
  <c r="Q104" i="16"/>
  <c r="Q106" i="16"/>
  <c r="Q105" i="16"/>
  <c r="E497" i="24"/>
  <c r="E440" i="24"/>
  <c r="D400" i="24"/>
  <c r="D459" i="24"/>
  <c r="E362" i="24"/>
  <c r="E248" i="24"/>
  <c r="D381" i="24"/>
  <c r="D172" i="24"/>
  <c r="E153" i="24"/>
  <c r="E95" i="24"/>
  <c r="AO478" i="24" l="1"/>
  <c r="AK478" i="24"/>
  <c r="AN478" i="24"/>
  <c r="AJ478" i="24"/>
  <c r="D56" i="24"/>
  <c r="E56" i="24"/>
  <c r="D76" i="24"/>
  <c r="E459" i="24"/>
  <c r="D440" i="24"/>
  <c r="E400" i="24"/>
  <c r="E381" i="24"/>
  <c r="D362" i="24"/>
  <c r="D248" i="24"/>
  <c r="D497" i="24"/>
  <c r="E172" i="24"/>
  <c r="D153" i="24"/>
  <c r="E133" i="24"/>
  <c r="D133" i="24"/>
  <c r="D95" i="24"/>
  <c r="E76" i="24"/>
  <c r="D306" i="15"/>
  <c r="F18" i="39" s="1"/>
  <c r="N18" i="39" s="1"/>
  <c r="O20" i="39" s="1"/>
  <c r="D170" i="15"/>
  <c r="D136" i="15"/>
  <c r="L36" i="44" l="1"/>
  <c r="F22" i="39"/>
  <c r="N22" i="39" s="1"/>
  <c r="X67" i="19"/>
  <c r="G447" i="24" s="1"/>
  <c r="F8" i="19"/>
  <c r="G51" i="24" s="1"/>
  <c r="R63" i="19"/>
  <c r="G423" i="24" s="1"/>
  <c r="C323" i="15"/>
  <c r="R287" i="15"/>
  <c r="D287" i="15"/>
  <c r="C287" i="15"/>
  <c r="D151" i="15"/>
  <c r="L34" i="44" s="1"/>
  <c r="A34" i="44" s="1"/>
  <c r="B3" i="15"/>
  <c r="B4" i="34" s="1"/>
  <c r="N34" i="44" l="1"/>
  <c r="R34" i="44" s="1"/>
  <c r="N36" i="44"/>
  <c r="AL423" i="24"/>
  <c r="AO423" i="24"/>
  <c r="AN423" i="24"/>
  <c r="AM423" i="24"/>
  <c r="AM51" i="24"/>
  <c r="AM53" i="24" s="1"/>
  <c r="AJ51" i="24"/>
  <c r="AJ53" i="24" s="1"/>
  <c r="AL51" i="24"/>
  <c r="AL53" i="24" s="1"/>
  <c r="AK51" i="24"/>
  <c r="AK53" i="24" s="1"/>
  <c r="AO447" i="24"/>
  <c r="AK447" i="24"/>
  <c r="AN447" i="24"/>
  <c r="AJ447" i="24"/>
  <c r="X59" i="19"/>
  <c r="G408" i="24" s="1"/>
  <c r="X70" i="19"/>
  <c r="G466" i="24" s="1"/>
  <c r="B442" i="15"/>
  <c r="B322" i="15"/>
  <c r="B321" i="15"/>
  <c r="B312" i="15"/>
  <c r="B310" i="15"/>
  <c r="B309" i="15"/>
  <c r="B284" i="34" s="1"/>
  <c r="B307" i="15"/>
  <c r="B282" i="34" s="1"/>
  <c r="B304" i="15"/>
  <c r="B279" i="34" s="1"/>
  <c r="B302" i="15"/>
  <c r="B299" i="15"/>
  <c r="B306" i="15"/>
  <c r="B290" i="15"/>
  <c r="B267" i="34" s="1"/>
  <c r="B288" i="15"/>
  <c r="B283" i="15"/>
  <c r="B260" i="34" s="1"/>
  <c r="B281" i="15"/>
  <c r="B267" i="15"/>
  <c r="B264" i="15"/>
  <c r="B263" i="15"/>
  <c r="B248" i="15"/>
  <c r="B246" i="15"/>
  <c r="B217" i="34" s="1"/>
  <c r="B196" i="34"/>
  <c r="B211" i="15"/>
  <c r="B210" i="15"/>
  <c r="B191" i="34" s="1"/>
  <c r="B208" i="15"/>
  <c r="B199" i="15"/>
  <c r="B180" i="34" s="1"/>
  <c r="B198" i="15"/>
  <c r="B179" i="34" s="1"/>
  <c r="B197" i="15"/>
  <c r="B178" i="34" s="1"/>
  <c r="B193" i="15"/>
  <c r="B174" i="34" s="1"/>
  <c r="B186" i="15"/>
  <c r="B167" i="34" s="1"/>
  <c r="B185" i="15"/>
  <c r="B166" i="34" s="1"/>
  <c r="B182" i="15"/>
  <c r="B163" i="34" s="1"/>
  <c r="B177" i="15"/>
  <c r="B175" i="15"/>
  <c r="B173" i="15"/>
  <c r="B171" i="15"/>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B100" i="15"/>
  <c r="B51" i="34" s="1"/>
  <c r="B99" i="15"/>
  <c r="B50" i="34" s="1"/>
  <c r="B98" i="15"/>
  <c r="B49" i="34" s="1"/>
  <c r="B46" i="15"/>
  <c r="B12" i="34" s="1"/>
  <c r="B42" i="15"/>
  <c r="B11" i="34" s="1"/>
  <c r="B27" i="15"/>
  <c r="B8" i="34" s="1"/>
  <c r="B21" i="15"/>
  <c r="B7" i="34" s="1"/>
  <c r="B429" i="15"/>
  <c r="B398" i="34" s="1"/>
  <c r="D205" i="15"/>
  <c r="R106" i="15"/>
  <c r="D157" i="15"/>
  <c r="D156" i="15"/>
  <c r="K340" i="15"/>
  <c r="J340" i="15"/>
  <c r="I340" i="15"/>
  <c r="H340" i="15"/>
  <c r="G340" i="15"/>
  <c r="F340" i="15"/>
  <c r="R178" i="15"/>
  <c r="B179" i="15" s="1"/>
  <c r="R176" i="15"/>
  <c r="R177" i="15"/>
  <c r="B178" i="15" s="1"/>
  <c r="D172" i="15"/>
  <c r="R172" i="15"/>
  <c r="C172" i="15"/>
  <c r="R157" i="15"/>
  <c r="R156" i="15"/>
  <c r="B457" i="15"/>
  <c r="B355" i="15"/>
  <c r="B53" i="15"/>
  <c r="B13" i="34" s="1"/>
  <c r="AD34" i="44" l="1"/>
  <c r="C466" i="34" s="1"/>
  <c r="AD36" i="44"/>
  <c r="B159" i="34"/>
  <c r="A148" i="24"/>
  <c r="AN408" i="24"/>
  <c r="AJ408" i="24"/>
  <c r="AO408" i="24"/>
  <c r="AK408" i="24"/>
  <c r="AK466" i="24"/>
  <c r="AJ466" i="24"/>
  <c r="B160" i="34"/>
  <c r="A149" i="24"/>
  <c r="AO595" i="24"/>
  <c r="AN595" i="24"/>
  <c r="B107" i="15"/>
  <c r="B303" i="34"/>
  <c r="C14" i="33"/>
  <c r="B629" i="34" s="1"/>
  <c r="B152" i="34"/>
  <c r="B192" i="34"/>
  <c r="B245" i="34"/>
  <c r="B274" i="34"/>
  <c r="B290" i="34"/>
  <c r="B219" i="34"/>
  <c r="B265" i="34"/>
  <c r="B291" i="34"/>
  <c r="B154" i="34"/>
  <c r="C29" i="31"/>
  <c r="B149" i="34"/>
  <c r="B156" i="34"/>
  <c r="B189" i="34"/>
  <c r="B242" i="34"/>
  <c r="B277" i="34"/>
  <c r="B285" i="34"/>
  <c r="B151" i="34"/>
  <c r="B158" i="34"/>
  <c r="B243" i="34"/>
  <c r="B258" i="34"/>
  <c r="B281" i="34"/>
  <c r="B287" i="34"/>
  <c r="C19" i="31"/>
  <c r="C22" i="31"/>
  <c r="C24" i="31"/>
  <c r="C200" i="15"/>
  <c r="C138" i="15"/>
  <c r="B57" i="34" l="1"/>
  <c r="E57" i="20"/>
  <c r="D466" i="34"/>
  <c r="E466" i="34"/>
  <c r="AM149" i="24"/>
  <c r="AL149" i="24"/>
  <c r="AO149" i="24"/>
  <c r="AK149" i="24"/>
  <c r="AN149" i="24"/>
  <c r="AJ149" i="24"/>
  <c r="AO148" i="24"/>
  <c r="AK148" i="24"/>
  <c r="AN148" i="24"/>
  <c r="AN150" i="24" s="1"/>
  <c r="AJ148" i="24"/>
  <c r="AJ150" i="24" s="1"/>
  <c r="AM148" i="24"/>
  <c r="AL148" i="24"/>
  <c r="C405" i="15"/>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AO150" i="24" l="1"/>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I13" i="27"/>
  <c r="D57" i="15"/>
  <c r="D56" i="15"/>
  <c r="C320" i="15"/>
  <c r="D244" i="15"/>
  <c r="D245" i="15"/>
  <c r="D247" i="15"/>
  <c r="D249" i="15"/>
  <c r="C223" i="15"/>
  <c r="C224" i="15"/>
  <c r="C233" i="15"/>
  <c r="D405" i="15"/>
  <c r="D406" i="15"/>
  <c r="D407" i="15"/>
  <c r="D414" i="15"/>
  <c r="D415" i="15"/>
  <c r="D416" i="15"/>
  <c r="D417" i="15"/>
  <c r="D418" i="15"/>
  <c r="D419" i="15"/>
  <c r="D420" i="15"/>
  <c r="D421" i="15"/>
  <c r="D423" i="15"/>
  <c r="D424" i="15"/>
  <c r="D425" i="15"/>
  <c r="D321" i="15"/>
  <c r="D322" i="15"/>
  <c r="D271" i="15"/>
  <c r="D325" i="15"/>
  <c r="D326" i="15"/>
  <c r="D327" i="15"/>
  <c r="D328" i="15"/>
  <c r="R338" i="15"/>
  <c r="R321" i="15"/>
  <c r="R320" i="15"/>
  <c r="R302" i="15"/>
  <c r="R303" i="15"/>
  <c r="R304" i="15"/>
  <c r="R312" i="15"/>
  <c r="B313" i="15" s="1"/>
  <c r="R313" i="15"/>
  <c r="D320" i="15"/>
  <c r="D285" i="15"/>
  <c r="D286" i="15"/>
  <c r="D288" i="15"/>
  <c r="D289" i="15"/>
  <c r="D299" i="15"/>
  <c r="D300" i="15"/>
  <c r="D302" i="15"/>
  <c r="D303" i="15"/>
  <c r="D304" i="15"/>
  <c r="D307" i="15"/>
  <c r="D308" i="15"/>
  <c r="D309" i="15"/>
  <c r="D310" i="15"/>
  <c r="D312" i="15"/>
  <c r="D270" i="15"/>
  <c r="D265" i="15"/>
  <c r="D272" i="15"/>
  <c r="D279" i="15"/>
  <c r="D280" i="15"/>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D234" i="15"/>
  <c r="D217" i="15"/>
  <c r="D218" i="15"/>
  <c r="D219" i="15"/>
  <c r="D220" i="15"/>
  <c r="D207" i="15"/>
  <c r="D208" i="15"/>
  <c r="D216" i="15"/>
  <c r="D206" i="15"/>
  <c r="D177" i="15"/>
  <c r="D178" i="15"/>
  <c r="D179" i="15"/>
  <c r="D180" i="15"/>
  <c r="D182" i="15"/>
  <c r="D186" i="15"/>
  <c r="D187" i="15"/>
  <c r="D188" i="15"/>
  <c r="D189" i="15"/>
  <c r="R247" i="15"/>
  <c r="R246" i="15"/>
  <c r="R245" i="15"/>
  <c r="R244" i="15"/>
  <c r="R235" i="15"/>
  <c r="R236" i="15"/>
  <c r="R237" i="15"/>
  <c r="R243" i="15"/>
  <c r="R234" i="15"/>
  <c r="B235" i="15" s="1"/>
  <c r="B208" i="34" s="1"/>
  <c r="R254" i="15"/>
  <c r="R231" i="15"/>
  <c r="R222" i="15"/>
  <c r="R219" i="15"/>
  <c r="R220" i="15"/>
  <c r="R180" i="15"/>
  <c r="R181" i="15"/>
  <c r="R182" i="15"/>
  <c r="R189" i="15"/>
  <c r="R190" i="15"/>
  <c r="R191" i="15"/>
  <c r="R192" i="15"/>
  <c r="R194" i="15"/>
  <c r="R195" i="15"/>
  <c r="R196" i="15"/>
  <c r="R197" i="15"/>
  <c r="R198" i="15"/>
  <c r="R199" i="15"/>
  <c r="R200" i="15"/>
  <c r="R206" i="15"/>
  <c r="R207" i="15"/>
  <c r="R210" i="15"/>
  <c r="R211" i="15"/>
  <c r="B212" i="15" s="1"/>
  <c r="C33" i="39" s="1"/>
  <c r="R212" i="15"/>
  <c r="R216" i="15"/>
  <c r="R217" i="15"/>
  <c r="R218" i="15"/>
  <c r="R179" i="15"/>
  <c r="D166" i="15"/>
  <c r="Q166" i="15" s="1"/>
  <c r="E149" i="34" s="1"/>
  <c r="R173" i="15"/>
  <c r="B174" i="15" s="1"/>
  <c r="R174" i="15"/>
  <c r="R175" i="15"/>
  <c r="B176" i="15" s="1"/>
  <c r="R171" i="15"/>
  <c r="B172" i="15" s="1"/>
  <c r="R170" i="15"/>
  <c r="R166" i="15"/>
  <c r="B167" i="15" s="1"/>
  <c r="B150" i="34" s="1"/>
  <c r="R165" i="15"/>
  <c r="R155" i="15"/>
  <c r="D155" i="15"/>
  <c r="R150" i="15"/>
  <c r="R151" i="15"/>
  <c r="B152" i="15" s="1"/>
  <c r="C34" i="39" s="1"/>
  <c r="R152" i="15"/>
  <c r="R154" i="15"/>
  <c r="B155" i="15" s="1"/>
  <c r="R149" i="15"/>
  <c r="R138" i="15"/>
  <c r="R139" i="15"/>
  <c r="R140" i="15"/>
  <c r="B141" i="15" s="1"/>
  <c r="R141" i="15"/>
  <c r="R137" i="15"/>
  <c r="R135" i="15"/>
  <c r="R136" i="15"/>
  <c r="R134" i="15"/>
  <c r="R143" i="15"/>
  <c r="R144" i="15"/>
  <c r="R145" i="15"/>
  <c r="C57" i="15"/>
  <c r="C56" i="15"/>
  <c r="D125" i="15"/>
  <c r="D126" i="15"/>
  <c r="D134" i="15"/>
  <c r="D137" i="15"/>
  <c r="D138" i="15"/>
  <c r="D139" i="15"/>
  <c r="D140" i="15"/>
  <c r="R99" i="15"/>
  <c r="R102" i="15"/>
  <c r="R101" i="15"/>
  <c r="B102" i="15" s="1"/>
  <c r="E29" i="20" s="1"/>
  <c r="R98" i="15"/>
  <c r="R53" i="15"/>
  <c r="D53" i="15"/>
  <c r="Q53" i="15" s="1"/>
  <c r="E13" i="34" s="1"/>
  <c r="D190" i="15"/>
  <c r="D191" i="15"/>
  <c r="D192" i="15"/>
  <c r="D171" i="15"/>
  <c r="D173" i="15"/>
  <c r="D174" i="15"/>
  <c r="D175" i="15"/>
  <c r="D176" i="15"/>
  <c r="D193" i="15"/>
  <c r="D194" i="15"/>
  <c r="D195" i="15"/>
  <c r="D196" i="15"/>
  <c r="D197" i="15"/>
  <c r="D199" i="15"/>
  <c r="D200" i="15"/>
  <c r="D201" i="15"/>
  <c r="D202" i="15"/>
  <c r="D204" i="15"/>
  <c r="D268" i="15"/>
  <c r="D269" i="15"/>
  <c r="D263" i="15"/>
  <c r="D165" i="15"/>
  <c r="Q165" i="15" s="1"/>
  <c r="E148" i="34" s="1"/>
  <c r="D98" i="15"/>
  <c r="R33" i="39" l="1"/>
  <c r="B62" i="45" s="1"/>
  <c r="Q33" i="39"/>
  <c r="B38" i="45" s="1"/>
  <c r="R34" i="39"/>
  <c r="B63" i="45" s="1"/>
  <c r="Q34" i="39"/>
  <c r="B39" i="45" s="1"/>
  <c r="X63" i="19"/>
  <c r="G428" i="24" s="1"/>
  <c r="F25" i="39"/>
  <c r="N25" i="39" s="1"/>
  <c r="O26" i="39" s="1"/>
  <c r="X31" i="19"/>
  <c r="G217" i="24" s="1"/>
  <c r="X25" i="19"/>
  <c r="G180" i="24" s="1"/>
  <c r="X85" i="19"/>
  <c r="G565" i="24" s="1"/>
  <c r="B157" i="34"/>
  <c r="A129" i="24"/>
  <c r="B153" i="34"/>
  <c r="A72" i="24"/>
  <c r="B120" i="34"/>
  <c r="A543" i="24"/>
  <c r="B155" i="34"/>
  <c r="A90" i="24"/>
  <c r="B193" i="34"/>
  <c r="C36" i="31"/>
  <c r="B118" i="34"/>
  <c r="AM188" i="24"/>
  <c r="AL188" i="24"/>
  <c r="AO188" i="24"/>
  <c r="AK188" i="24"/>
  <c r="AN188" i="24"/>
  <c r="AJ188" i="24"/>
  <c r="AO575" i="24"/>
  <c r="AN575" i="24"/>
  <c r="AM191" i="24"/>
  <c r="AL191" i="24"/>
  <c r="AK191" i="24"/>
  <c r="AJ191" i="24"/>
  <c r="AM397" i="24"/>
  <c r="AL397" i="24"/>
  <c r="AO397" i="24"/>
  <c r="AK397" i="24"/>
  <c r="AN397" i="24"/>
  <c r="AJ397" i="24"/>
  <c r="AO656" i="24"/>
  <c r="AK656" i="24"/>
  <c r="AN656" i="24"/>
  <c r="AJ656" i="24"/>
  <c r="AO169" i="24"/>
  <c r="AK169" i="24"/>
  <c r="AN169" i="24"/>
  <c r="AJ169" i="24"/>
  <c r="AJ595" i="24"/>
  <c r="AK595" i="24"/>
  <c r="AN343" i="24"/>
  <c r="AJ343" i="24"/>
  <c r="AO343" i="24"/>
  <c r="AK343" i="24"/>
  <c r="AL114" i="24"/>
  <c r="AO114" i="24"/>
  <c r="AK114" i="24"/>
  <c r="AN114" i="24"/>
  <c r="AJ114" i="24"/>
  <c r="AM114" i="24"/>
  <c r="H90" i="24"/>
  <c r="AM207" i="24"/>
  <c r="AL207" i="24"/>
  <c r="AO207" i="24"/>
  <c r="AK207" i="24"/>
  <c r="AN207" i="24"/>
  <c r="AJ207" i="24"/>
  <c r="AO267" i="24"/>
  <c r="AK267" i="24"/>
  <c r="AN267" i="24"/>
  <c r="AJ267" i="24"/>
  <c r="AM267" i="24"/>
  <c r="AL267" i="24"/>
  <c r="H180" i="24"/>
  <c r="H181" i="24" s="1"/>
  <c r="AK283" i="24"/>
  <c r="AL111" i="24"/>
  <c r="AO111" i="24"/>
  <c r="AK111" i="24"/>
  <c r="AN111" i="24"/>
  <c r="AJ111" i="24"/>
  <c r="AM111" i="24"/>
  <c r="H109" i="24"/>
  <c r="AO245" i="24"/>
  <c r="AK245" i="24"/>
  <c r="AN245" i="24"/>
  <c r="AJ245" i="24"/>
  <c r="AM245" i="24"/>
  <c r="AL245" i="24"/>
  <c r="AN555" i="24"/>
  <c r="AM555" i="24"/>
  <c r="AL555" i="24"/>
  <c r="AO555" i="24"/>
  <c r="AO305" i="24"/>
  <c r="AK305" i="24"/>
  <c r="AN305" i="24"/>
  <c r="AJ305" i="24"/>
  <c r="H654" i="24"/>
  <c r="B289" i="15"/>
  <c r="A403" i="24" s="1"/>
  <c r="B287" i="15"/>
  <c r="B280" i="15"/>
  <c r="B303" i="15"/>
  <c r="B219" i="15"/>
  <c r="B192" i="15"/>
  <c r="D26" i="41" s="1"/>
  <c r="G26" i="41" s="1"/>
  <c r="B237" i="15"/>
  <c r="B236" i="15"/>
  <c r="B209" i="34" s="1"/>
  <c r="B265" i="15"/>
  <c r="B291" i="15"/>
  <c r="B268" i="34" s="1"/>
  <c r="B269" i="34" s="1"/>
  <c r="B270" i="34" s="1"/>
  <c r="B279" i="15"/>
  <c r="B271" i="15"/>
  <c r="B57" i="15"/>
  <c r="B249" i="15"/>
  <c r="B54" i="15"/>
  <c r="B14" i="34" s="1"/>
  <c r="B326" i="15"/>
  <c r="A480" i="24" s="1"/>
  <c r="B234" i="15"/>
  <c r="B200" i="15"/>
  <c r="B196" i="15"/>
  <c r="B181" i="15"/>
  <c r="B162" i="34" s="1"/>
  <c r="B244" i="15"/>
  <c r="B245" i="15"/>
  <c r="B268" i="15"/>
  <c r="B270" i="15"/>
  <c r="B305" i="15"/>
  <c r="AB400" i="15"/>
  <c r="AB262" i="15"/>
  <c r="Y400" i="15"/>
  <c r="Y262" i="15"/>
  <c r="AC400" i="15"/>
  <c r="AC262" i="15"/>
  <c r="Z400" i="15"/>
  <c r="Z262" i="15"/>
  <c r="AA262" i="15"/>
  <c r="AA400" i="15"/>
  <c r="B238" i="15"/>
  <c r="B53" i="34"/>
  <c r="B274" i="15"/>
  <c r="B251" i="34" s="1"/>
  <c r="B252" i="34" s="1"/>
  <c r="B253" i="34" s="1"/>
  <c r="B254" i="34" s="1"/>
  <c r="B277" i="15"/>
  <c r="B276" i="15"/>
  <c r="B275" i="15"/>
  <c r="B253" i="15"/>
  <c r="B251" i="15"/>
  <c r="B252" i="15"/>
  <c r="B222" i="34" s="1"/>
  <c r="B223" i="34" s="1"/>
  <c r="B224" i="34" s="1"/>
  <c r="B225" i="34" s="1"/>
  <c r="B226" i="34" s="1"/>
  <c r="B227" i="34" s="1"/>
  <c r="B258" i="15"/>
  <c r="B324" i="15"/>
  <c r="A499" i="24" s="1"/>
  <c r="B256" i="15"/>
  <c r="B254" i="15"/>
  <c r="B308" i="15"/>
  <c r="B257" i="15"/>
  <c r="B255" i="15"/>
  <c r="B217" i="15"/>
  <c r="B282" i="15"/>
  <c r="B147" i="15"/>
  <c r="B114" i="34" s="1"/>
  <c r="B143" i="15"/>
  <c r="B110" i="34" s="1"/>
  <c r="B145" i="15"/>
  <c r="B112" i="34" s="1"/>
  <c r="B146" i="15"/>
  <c r="B113" i="34" s="1"/>
  <c r="B144" i="15"/>
  <c r="B111" i="34" s="1"/>
  <c r="B142" i="15"/>
  <c r="B109" i="34" s="1"/>
  <c r="B242" i="15"/>
  <c r="B316" i="15"/>
  <c r="B314" i="15"/>
  <c r="B318" i="15"/>
  <c r="B319" i="15"/>
  <c r="B315" i="15"/>
  <c r="B288" i="34"/>
  <c r="B317" i="15"/>
  <c r="H666" i="24"/>
  <c r="K654" i="24"/>
  <c r="R654" i="24"/>
  <c r="AH654" i="24" s="1"/>
  <c r="U654" i="24"/>
  <c r="P31" i="14"/>
  <c r="I15" i="27"/>
  <c r="P32" i="14"/>
  <c r="I16" i="27"/>
  <c r="B221" i="34"/>
  <c r="P43" i="14"/>
  <c r="E35" i="20" s="1"/>
  <c r="C28" i="31"/>
  <c r="B220" i="15"/>
  <c r="A455" i="24" s="1"/>
  <c r="P29" i="14"/>
  <c r="P44" i="14"/>
  <c r="E31" i="20" s="1"/>
  <c r="P42" i="14"/>
  <c r="E39" i="20" s="1"/>
  <c r="P41" i="14"/>
  <c r="Q387" i="15"/>
  <c r="Q56" i="15"/>
  <c r="E15" i="34" s="1"/>
  <c r="Q57" i="15"/>
  <c r="E16" i="34" s="1"/>
  <c r="Q102" i="15"/>
  <c r="E53" i="34" s="1"/>
  <c r="Q99" i="15"/>
  <c r="E50" i="34" s="1"/>
  <c r="O39" i="39" l="1"/>
  <c r="D39" i="41"/>
  <c r="G39" i="41" s="1"/>
  <c r="H39" i="41" s="1"/>
  <c r="H26" i="41"/>
  <c r="J26" i="41"/>
  <c r="B196" i="45" s="1"/>
  <c r="I26" i="41"/>
  <c r="B149" i="45" s="1"/>
  <c r="F36" i="31"/>
  <c r="Q36" i="31" s="1"/>
  <c r="B259" i="45" s="1"/>
  <c r="B244" i="34"/>
  <c r="H34" i="20"/>
  <c r="E40" i="20"/>
  <c r="A512" i="24"/>
  <c r="AL512" i="24" s="1"/>
  <c r="AL513" i="24" s="1"/>
  <c r="B181" i="34"/>
  <c r="D36" i="44"/>
  <c r="D52" i="41"/>
  <c r="G52" i="41" s="1"/>
  <c r="AO428" i="24"/>
  <c r="AN428" i="24"/>
  <c r="AM428" i="24"/>
  <c r="AL428" i="24"/>
  <c r="AO217" i="24"/>
  <c r="AK217" i="24"/>
  <c r="AN217" i="24"/>
  <c r="AJ217" i="24"/>
  <c r="AO180" i="24"/>
  <c r="AO181" i="24" s="1"/>
  <c r="AK180" i="24"/>
  <c r="AK181" i="24" s="1"/>
  <c r="AN180" i="24"/>
  <c r="AN181" i="24" s="1"/>
  <c r="AJ180" i="24"/>
  <c r="AJ181" i="24" s="1"/>
  <c r="AO565" i="24"/>
  <c r="AN565" i="24"/>
  <c r="AM565" i="24"/>
  <c r="AL565" i="24"/>
  <c r="B259" i="34"/>
  <c r="A537" i="24"/>
  <c r="B283" i="34"/>
  <c r="A402" i="24"/>
  <c r="B280" i="34"/>
  <c r="A135" i="24"/>
  <c r="B215" i="34"/>
  <c r="A531" i="24"/>
  <c r="B207" i="34"/>
  <c r="A493" i="24"/>
  <c r="B16" i="34"/>
  <c r="A666" i="24"/>
  <c r="AL403" i="24"/>
  <c r="AO403" i="24"/>
  <c r="AK403" i="24"/>
  <c r="AN403" i="24"/>
  <c r="AJ403" i="24"/>
  <c r="AM403" i="24"/>
  <c r="AM90" i="24"/>
  <c r="AM92" i="24" s="1"/>
  <c r="AL90" i="24"/>
  <c r="AL92" i="24" s="1"/>
  <c r="AO90" i="24"/>
  <c r="AO92" i="24" s="1"/>
  <c r="AK90" i="24"/>
  <c r="AK92" i="24" s="1"/>
  <c r="AN90" i="24"/>
  <c r="AN92" i="24" s="1"/>
  <c r="AJ90" i="24"/>
  <c r="AJ92" i="24" s="1"/>
  <c r="AO72" i="24"/>
  <c r="AO73" i="24" s="1"/>
  <c r="AK72" i="24"/>
  <c r="AK73" i="24" s="1"/>
  <c r="AN72" i="24"/>
  <c r="AN73" i="24" s="1"/>
  <c r="AJ72" i="24"/>
  <c r="AJ73" i="24" s="1"/>
  <c r="AM72" i="24"/>
  <c r="AM73" i="24" s="1"/>
  <c r="AL72" i="24"/>
  <c r="AL73" i="24" s="1"/>
  <c r="B195" i="34"/>
  <c r="A357" i="24"/>
  <c r="B248" i="34"/>
  <c r="A723" i="24"/>
  <c r="AL480" i="24"/>
  <c r="AO480" i="24"/>
  <c r="AK480" i="24"/>
  <c r="AN480" i="24"/>
  <c r="AJ480" i="24"/>
  <c r="AM480" i="24"/>
  <c r="B249" i="34"/>
  <c r="A724" i="24"/>
  <c r="B278" i="34"/>
  <c r="A519" i="24"/>
  <c r="AN455" i="24"/>
  <c r="AN456" i="24" s="1"/>
  <c r="AJ455" i="24"/>
  <c r="AJ456" i="24" s="1"/>
  <c r="AM455" i="24"/>
  <c r="AM456" i="24" s="1"/>
  <c r="AL455" i="24"/>
  <c r="AL456" i="24" s="1"/>
  <c r="AO455" i="24"/>
  <c r="AO456" i="24" s="1"/>
  <c r="AK455" i="24"/>
  <c r="AK456" i="24" s="1"/>
  <c r="B246" i="34"/>
  <c r="A59" i="24"/>
  <c r="B177" i="34"/>
  <c r="A301" i="24"/>
  <c r="B256" i="34"/>
  <c r="A97" i="24"/>
  <c r="B257" i="34"/>
  <c r="A116" i="24"/>
  <c r="AL543" i="24"/>
  <c r="AO543" i="24"/>
  <c r="AK543" i="24"/>
  <c r="AN543" i="24"/>
  <c r="AJ543" i="24"/>
  <c r="AM543" i="24"/>
  <c r="AO129" i="24"/>
  <c r="AO130" i="24" s="1"/>
  <c r="AK129" i="24"/>
  <c r="AK130" i="24" s="1"/>
  <c r="AN129" i="24"/>
  <c r="AN130" i="24" s="1"/>
  <c r="AJ129" i="24"/>
  <c r="AJ130" i="24" s="1"/>
  <c r="AM129" i="24"/>
  <c r="AM130" i="24" s="1"/>
  <c r="AL129" i="24"/>
  <c r="AL130" i="24" s="1"/>
  <c r="I31" i="20"/>
  <c r="AL499" i="24"/>
  <c r="AO499" i="24"/>
  <c r="AK499" i="24"/>
  <c r="AN499" i="24"/>
  <c r="AJ499" i="24"/>
  <c r="AM499" i="24"/>
  <c r="B216" i="34"/>
  <c r="A376" i="24"/>
  <c r="B220" i="34"/>
  <c r="A435" i="24"/>
  <c r="B173" i="34"/>
  <c r="A262" i="24"/>
  <c r="B264" i="34"/>
  <c r="A251" i="24"/>
  <c r="AO283" i="24"/>
  <c r="L36" i="31"/>
  <c r="K36" i="31"/>
  <c r="H36" i="31" s="1"/>
  <c r="B197" i="34"/>
  <c r="C25" i="31"/>
  <c r="B266" i="34"/>
  <c r="B325" i="15"/>
  <c r="AI654" i="24"/>
  <c r="AN283" i="24"/>
  <c r="AJ283" i="24"/>
  <c r="AO340" i="24"/>
  <c r="AN340" i="24"/>
  <c r="AL226" i="24"/>
  <c r="AM150" i="24"/>
  <c r="AG654" i="24"/>
  <c r="H656" i="24"/>
  <c r="AO286" i="24"/>
  <c r="AK286" i="24"/>
  <c r="AN286" i="24"/>
  <c r="AJ286" i="24"/>
  <c r="AM226" i="24"/>
  <c r="AJ421" i="24"/>
  <c r="AM535" i="24"/>
  <c r="AL535" i="24"/>
  <c r="AK535" i="24"/>
  <c r="AJ535" i="24"/>
  <c r="H534" i="24"/>
  <c r="AI180" i="24"/>
  <c r="AI181" i="24" s="1"/>
  <c r="AG180" i="24"/>
  <c r="AG181" i="24" s="1"/>
  <c r="AK226" i="24"/>
  <c r="AJ226" i="24"/>
  <c r="AO421" i="24"/>
  <c r="AK150" i="24"/>
  <c r="AN229" i="24"/>
  <c r="AJ229" i="24"/>
  <c r="AM229" i="24"/>
  <c r="AL229" i="24"/>
  <c r="AO229" i="24"/>
  <c r="AK229" i="24"/>
  <c r="AM210" i="24"/>
  <c r="AL210" i="24"/>
  <c r="AO226" i="24"/>
  <c r="AN226" i="24"/>
  <c r="AL150" i="24"/>
  <c r="R666" i="24"/>
  <c r="K656" i="24"/>
  <c r="U656" i="24"/>
  <c r="AO660" i="24" s="1"/>
  <c r="R656" i="24"/>
  <c r="B295" i="34"/>
  <c r="B293" i="34"/>
  <c r="B198" i="34"/>
  <c r="C35" i="31"/>
  <c r="Q221" i="15"/>
  <c r="E199" i="34" s="1"/>
  <c r="Q349" i="15"/>
  <c r="E309" i="34" s="1"/>
  <c r="K666" i="24"/>
  <c r="H668" i="24" s="1"/>
  <c r="U666" i="24"/>
  <c r="H265" i="24"/>
  <c r="G24" i="31"/>
  <c r="H24" i="31" s="1"/>
  <c r="G31" i="31"/>
  <c r="N31" i="31" s="1"/>
  <c r="H523" i="24"/>
  <c r="H71" i="24"/>
  <c r="Q418" i="15"/>
  <c r="H553" i="24"/>
  <c r="G23" i="31"/>
  <c r="H23" i="31" s="1"/>
  <c r="Q422" i="15"/>
  <c r="H466" i="24"/>
  <c r="H72" i="24"/>
  <c r="H129" i="24"/>
  <c r="Q337" i="15"/>
  <c r="E301" i="34" s="1"/>
  <c r="Q114" i="15"/>
  <c r="Q209" i="15"/>
  <c r="H186" i="24"/>
  <c r="H282" i="24"/>
  <c r="G22" i="31"/>
  <c r="H22" i="31" s="1"/>
  <c r="H593" i="24"/>
  <c r="H573" i="24"/>
  <c r="H511" i="24"/>
  <c r="H585" i="24"/>
  <c r="H543" i="24"/>
  <c r="Q336" i="15"/>
  <c r="E300" i="34" s="1"/>
  <c r="Q113" i="15"/>
  <c r="G19" i="31"/>
  <c r="H19" i="31" s="1"/>
  <c r="G16" i="31"/>
  <c r="H16" i="31" s="1"/>
  <c r="H281" i="24"/>
  <c r="G20" i="31"/>
  <c r="H20" i="31" s="1"/>
  <c r="G33" i="31"/>
  <c r="G14" i="31"/>
  <c r="H14" i="31" s="1"/>
  <c r="H565" i="24"/>
  <c r="H542" i="24"/>
  <c r="H128" i="24"/>
  <c r="Q265" i="15"/>
  <c r="E244" i="34" s="1"/>
  <c r="B228" i="15"/>
  <c r="B225" i="15"/>
  <c r="H189" i="24"/>
  <c r="Q407" i="15"/>
  <c r="H408" i="24"/>
  <c r="Q208" i="15"/>
  <c r="P200" i="14"/>
  <c r="I59" i="27"/>
  <c r="H270" i="24"/>
  <c r="H539" i="24"/>
  <c r="H538" i="24"/>
  <c r="H194" i="24"/>
  <c r="H175" i="24"/>
  <c r="H250" i="24"/>
  <c r="H251" i="24"/>
  <c r="H346" i="24"/>
  <c r="H404" i="24"/>
  <c r="H403" i="24"/>
  <c r="H519" i="24"/>
  <c r="H269" i="24"/>
  <c r="Q112" i="15"/>
  <c r="Q51" i="14" s="1"/>
  <c r="P204" i="14"/>
  <c r="H25" i="20" s="1"/>
  <c r="AH58" i="20" s="1"/>
  <c r="G13" i="31"/>
  <c r="H13" i="31" s="1"/>
  <c r="P130" i="14"/>
  <c r="H512" i="24"/>
  <c r="Q417" i="15"/>
  <c r="E30" i="41" s="1"/>
  <c r="Q300" i="15"/>
  <c r="Q301" i="15"/>
  <c r="Q216" i="14" s="1"/>
  <c r="P180" i="14"/>
  <c r="Q290" i="15"/>
  <c r="E267" i="34" s="1"/>
  <c r="P201" i="14"/>
  <c r="H461" i="24"/>
  <c r="P197" i="14"/>
  <c r="H499" i="24"/>
  <c r="Q243" i="15"/>
  <c r="E214" i="34" s="1"/>
  <c r="P170" i="14"/>
  <c r="Q137" i="15"/>
  <c r="H605" i="24"/>
  <c r="B398" i="15"/>
  <c r="H174" i="24"/>
  <c r="B392" i="15"/>
  <c r="P209" i="14"/>
  <c r="G15" i="31"/>
  <c r="H15" i="31" s="1"/>
  <c r="B148" i="15"/>
  <c r="B376" i="15"/>
  <c r="C46" i="33" s="1"/>
  <c r="B378" i="15"/>
  <c r="C48" i="33" s="1"/>
  <c r="B374" i="15"/>
  <c r="C43" i="33" s="1"/>
  <c r="B377" i="15"/>
  <c r="C47" i="33" s="1"/>
  <c r="G31" i="33" s="1"/>
  <c r="G647" i="34" s="1"/>
  <c r="B375" i="15"/>
  <c r="C44" i="33" s="1"/>
  <c r="P205" i="14"/>
  <c r="Q371" i="15"/>
  <c r="H262" i="24"/>
  <c r="P139" i="14"/>
  <c r="C15" i="31"/>
  <c r="I50" i="27"/>
  <c r="P47" i="14"/>
  <c r="P199" i="14"/>
  <c r="P48" i="14"/>
  <c r="P117" i="14"/>
  <c r="Q126" i="15"/>
  <c r="P196" i="14"/>
  <c r="Q125" i="15"/>
  <c r="Q163" i="15"/>
  <c r="H613" i="24"/>
  <c r="P202" i="14"/>
  <c r="Q136" i="15"/>
  <c r="F29" i="41" s="1"/>
  <c r="G29" i="41" s="1"/>
  <c r="H447" i="24"/>
  <c r="P198" i="14"/>
  <c r="P158" i="14"/>
  <c r="Q200" i="15"/>
  <c r="D35" i="41" s="1"/>
  <c r="Q123" i="15"/>
  <c r="Q55" i="14" s="1"/>
  <c r="H625" i="24"/>
  <c r="Q134" i="15"/>
  <c r="F23" i="41" s="1"/>
  <c r="H217" i="24"/>
  <c r="P122" i="14"/>
  <c r="Q107" i="15"/>
  <c r="H364" i="24"/>
  <c r="P63" i="14"/>
  <c r="P61" i="14"/>
  <c r="Q202" i="15"/>
  <c r="D36" i="41" s="1"/>
  <c r="P124" i="14"/>
  <c r="I26" i="27"/>
  <c r="Q201" i="15"/>
  <c r="E182" i="34" s="1"/>
  <c r="Q203" i="15"/>
  <c r="E184" i="34" s="1"/>
  <c r="Q204" i="15"/>
  <c r="H205" i="24"/>
  <c r="P172" i="14"/>
  <c r="P171" i="14"/>
  <c r="H289" i="24"/>
  <c r="H208" i="24"/>
  <c r="H209" i="24"/>
  <c r="Q236" i="15"/>
  <c r="E209" i="34" s="1"/>
  <c r="I40" i="27"/>
  <c r="B241" i="15"/>
  <c r="I39" i="27"/>
  <c r="Q184" i="15"/>
  <c r="H473" i="24"/>
  <c r="I24" i="27"/>
  <c r="I32" i="27"/>
  <c r="H288" i="24"/>
  <c r="H193" i="24"/>
  <c r="I46" i="27"/>
  <c r="P114" i="14"/>
  <c r="I34" i="27"/>
  <c r="H455" i="24"/>
  <c r="I36" i="27"/>
  <c r="P188" i="14"/>
  <c r="P45" i="14"/>
  <c r="E62" i="20" s="1"/>
  <c r="P111" i="14"/>
  <c r="H167" i="24"/>
  <c r="I28" i="27"/>
  <c r="P81" i="14"/>
  <c r="H39" i="20" s="1"/>
  <c r="I39" i="20" s="1"/>
  <c r="Q329" i="15"/>
  <c r="Q423" i="15"/>
  <c r="E35" i="41" s="1"/>
  <c r="H476" i="24"/>
  <c r="H322" i="24"/>
  <c r="Q323" i="15"/>
  <c r="E292" i="34" s="1"/>
  <c r="H224" i="24"/>
  <c r="P186" i="14"/>
  <c r="P165" i="14"/>
  <c r="H308" i="24"/>
  <c r="P151" i="14"/>
  <c r="H19" i="20" s="1"/>
  <c r="AH57" i="20" s="1"/>
  <c r="H418" i="24"/>
  <c r="H341" i="24"/>
  <c r="Q154" i="15"/>
  <c r="P146" i="14"/>
  <c r="I42" i="27"/>
  <c r="Q219" i="15"/>
  <c r="D40" i="41" s="1"/>
  <c r="G40" i="41" s="1"/>
  <c r="H135" i="24"/>
  <c r="H454" i="24"/>
  <c r="Q41" i="14"/>
  <c r="Q32" i="14"/>
  <c r="J16" i="27"/>
  <c r="Q31" i="14"/>
  <c r="J15" i="27"/>
  <c r="Q29" i="14"/>
  <c r="J13" i="27"/>
  <c r="Q43" i="14"/>
  <c r="Q42" i="14"/>
  <c r="Q44" i="14"/>
  <c r="Q250" i="15"/>
  <c r="E221" i="34" s="1"/>
  <c r="P145" i="14"/>
  <c r="Q183" i="15"/>
  <c r="E164" i="34" s="1"/>
  <c r="Q244" i="15"/>
  <c r="E215" i="34" s="1"/>
  <c r="P57" i="14"/>
  <c r="P98" i="14"/>
  <c r="Q206" i="15"/>
  <c r="P97" i="14"/>
  <c r="P64" i="14"/>
  <c r="Q207" i="15"/>
  <c r="E188" i="34" s="1"/>
  <c r="P69" i="14"/>
  <c r="P185" i="14"/>
  <c r="H423" i="24"/>
  <c r="H480" i="24"/>
  <c r="P176" i="14"/>
  <c r="H307" i="24"/>
  <c r="P178" i="14"/>
  <c r="H345" i="24"/>
  <c r="H303" i="24"/>
  <c r="Q234" i="15"/>
  <c r="E207" i="34" s="1"/>
  <c r="H493" i="24"/>
  <c r="P183" i="14"/>
  <c r="H383" i="24"/>
  <c r="P194" i="14"/>
  <c r="H326" i="24"/>
  <c r="P70" i="14"/>
  <c r="H300" i="24"/>
  <c r="H338" i="24"/>
  <c r="P65" i="14"/>
  <c r="H442" i="24"/>
  <c r="P187" i="14"/>
  <c r="H402" i="24"/>
  <c r="Q245" i="15"/>
  <c r="E216" i="34" s="1"/>
  <c r="H376" i="24"/>
  <c r="Q246" i="15"/>
  <c r="D47" i="41" s="1"/>
  <c r="G47" i="41" s="1"/>
  <c r="H395" i="24"/>
  <c r="Q249" i="15"/>
  <c r="E220" i="34" s="1"/>
  <c r="H435" i="24"/>
  <c r="P68" i="14"/>
  <c r="P110" i="14"/>
  <c r="H301" i="24"/>
  <c r="P116" i="14"/>
  <c r="H339" i="24"/>
  <c r="Q217" i="15"/>
  <c r="H357" i="24"/>
  <c r="H492" i="24"/>
  <c r="P96" i="14"/>
  <c r="P56" i="14"/>
  <c r="Q414" i="15"/>
  <c r="E367" i="34" s="1"/>
  <c r="H284" i="24"/>
  <c r="P224" i="14"/>
  <c r="H227" i="24"/>
  <c r="P168" i="14"/>
  <c r="H231" i="24"/>
  <c r="P189" i="14"/>
  <c r="Q406" i="15"/>
  <c r="E11" i="41" s="1"/>
  <c r="H112" i="24"/>
  <c r="H78" i="24"/>
  <c r="P163" i="14"/>
  <c r="H116" i="24"/>
  <c r="Q247" i="15"/>
  <c r="E218" i="34" s="1"/>
  <c r="H225" i="24"/>
  <c r="H243" i="24"/>
  <c r="P90" i="14"/>
  <c r="P181" i="14"/>
  <c r="Q287" i="15"/>
  <c r="E264" i="34" s="1"/>
  <c r="H97" i="24"/>
  <c r="H155" i="24"/>
  <c r="Q172" i="15"/>
  <c r="D10" i="41" s="1"/>
  <c r="G10" i="41" s="1"/>
  <c r="P190" i="14"/>
  <c r="H212" i="24"/>
  <c r="P60" i="14"/>
  <c r="P175" i="14"/>
  <c r="P184" i="14"/>
  <c r="Q305" i="15"/>
  <c r="P112" i="14"/>
  <c r="P82" i="14"/>
  <c r="P193" i="14"/>
  <c r="P230" i="14"/>
  <c r="Q157" i="15"/>
  <c r="E122" i="34" s="1"/>
  <c r="P75" i="14"/>
  <c r="Q156" i="15"/>
  <c r="P74" i="14"/>
  <c r="P195" i="14"/>
  <c r="P169" i="14"/>
  <c r="P95" i="14"/>
  <c r="Q220" i="15"/>
  <c r="E198" i="34" s="1"/>
  <c r="B240" i="15"/>
  <c r="P222" i="14"/>
  <c r="Q415" i="15"/>
  <c r="P234" i="14"/>
  <c r="Q426" i="15"/>
  <c r="E379" i="34" s="1"/>
  <c r="P156" i="14"/>
  <c r="Q235" i="15"/>
  <c r="E208" i="34" s="1"/>
  <c r="Q218" i="15"/>
  <c r="E196" i="34" s="1"/>
  <c r="Q216" i="15"/>
  <c r="E194" i="34" s="1"/>
  <c r="Q205" i="15"/>
  <c r="E186" i="34" s="1"/>
  <c r="P119" i="14"/>
  <c r="Q106" i="15"/>
  <c r="E56" i="34" s="1"/>
  <c r="Q347" i="15"/>
  <c r="E308" i="34" s="1"/>
  <c r="Q344" i="15"/>
  <c r="E306" i="34" s="1"/>
  <c r="Q343" i="15"/>
  <c r="E305" i="34" s="1"/>
  <c r="Q341" i="15"/>
  <c r="E303" i="34" s="1"/>
  <c r="P86" i="14"/>
  <c r="P115" i="14"/>
  <c r="Q345" i="15"/>
  <c r="E307" i="34" s="1"/>
  <c r="Q342" i="15"/>
  <c r="E304" i="34" s="1"/>
  <c r="P107" i="14"/>
  <c r="P100" i="14"/>
  <c r="Q351" i="15"/>
  <c r="E310" i="34" s="1"/>
  <c r="Q364" i="15"/>
  <c r="E317" i="34" s="1"/>
  <c r="Q366" i="15"/>
  <c r="E318" i="34" s="1"/>
  <c r="Q360" i="15"/>
  <c r="E315" i="34" s="1"/>
  <c r="Q357" i="15"/>
  <c r="E312" i="34" s="1"/>
  <c r="Q362" i="15"/>
  <c r="E316" i="34" s="1"/>
  <c r="Q358" i="15"/>
  <c r="E313" i="34" s="1"/>
  <c r="Q359" i="15"/>
  <c r="E314" i="34" s="1"/>
  <c r="Q356" i="15"/>
  <c r="E311" i="34" s="1"/>
  <c r="B239" i="15"/>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Q326" i="15"/>
  <c r="Q327" i="15"/>
  <c r="E296" i="34" s="1"/>
  <c r="Q181" i="15"/>
  <c r="Q140" i="15"/>
  <c r="Q193" i="15"/>
  <c r="D30" i="41" s="1"/>
  <c r="Q176" i="15"/>
  <c r="D14" i="41" s="1"/>
  <c r="G14" i="41" s="1"/>
  <c r="P179" i="14"/>
  <c r="P127" i="14"/>
  <c r="P72" i="14"/>
  <c r="Q182" i="15"/>
  <c r="Q149" i="15"/>
  <c r="F51" i="41" s="1"/>
  <c r="Q197" i="15"/>
  <c r="Q416" i="15"/>
  <c r="E369" i="34" s="1"/>
  <c r="P140" i="14"/>
  <c r="Q424" i="15"/>
  <c r="E42" i="41" s="1"/>
  <c r="G42" i="41" s="1"/>
  <c r="P232" i="14"/>
  <c r="P231" i="14"/>
  <c r="Q280" i="15"/>
  <c r="Q270" i="15"/>
  <c r="P157" i="14"/>
  <c r="Q325" i="15"/>
  <c r="E294" i="34" s="1"/>
  <c r="P131" i="14"/>
  <c r="P105" i="14"/>
  <c r="Q174" i="15"/>
  <c r="D12" i="41" s="1"/>
  <c r="G12" i="41" s="1"/>
  <c r="P88" i="14"/>
  <c r="P144" i="14"/>
  <c r="Q190" i="15"/>
  <c r="P104" i="14"/>
  <c r="P87" i="14"/>
  <c r="P121" i="14"/>
  <c r="Q171" i="15"/>
  <c r="D9" i="41" s="1"/>
  <c r="G9" i="41" s="1"/>
  <c r="P85" i="14"/>
  <c r="P120" i="14"/>
  <c r="Q298" i="15"/>
  <c r="P177" i="14"/>
  <c r="Q303" i="15"/>
  <c r="E278" i="34" s="1"/>
  <c r="P182" i="14"/>
  <c r="Q284" i="15"/>
  <c r="P167" i="14"/>
  <c r="P223" i="14"/>
  <c r="P225" i="14"/>
  <c r="Q267" i="15"/>
  <c r="E245" i="34" s="1"/>
  <c r="P154" i="14"/>
  <c r="Q308" i="15"/>
  <c r="Q188" i="15"/>
  <c r="E169" i="34" s="1"/>
  <c r="Q155" i="15"/>
  <c r="F45" i="41" s="1"/>
  <c r="P73" i="14"/>
  <c r="P135" i="14"/>
  <c r="Q185" i="15"/>
  <c r="P99" i="14"/>
  <c r="Q170" i="15"/>
  <c r="P84" i="14"/>
  <c r="P113" i="14"/>
  <c r="P153" i="14"/>
  <c r="H35" i="20" s="1"/>
  <c r="I35" i="20" s="1"/>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D20" i="41" s="1"/>
  <c r="G20" i="41" s="1"/>
  <c r="P93" i="14"/>
  <c r="P173" i="14"/>
  <c r="Q425" i="15"/>
  <c r="E378" i="34" s="1"/>
  <c r="P233" i="14"/>
  <c r="Q297" i="15"/>
  <c r="Q139" i="15"/>
  <c r="Q312" i="15"/>
  <c r="E287" i="34" s="1"/>
  <c r="Q311" i="15"/>
  <c r="E286" i="34" s="1"/>
  <c r="Q124" i="15"/>
  <c r="F16" i="41" s="1"/>
  <c r="Q189" i="15"/>
  <c r="E170" i="34" s="1"/>
  <c r="Q187" i="15"/>
  <c r="E168" i="34" s="1"/>
  <c r="Q196" i="15"/>
  <c r="E177" i="34" s="1"/>
  <c r="Q324" i="15"/>
  <c r="E293" i="34" s="1"/>
  <c r="Q105" i="15"/>
  <c r="E55" i="34" s="1"/>
  <c r="P46" i="14"/>
  <c r="Q321" i="15"/>
  <c r="E290" i="34" s="1"/>
  <c r="P137" i="14"/>
  <c r="P109" i="14"/>
  <c r="Q178" i="15"/>
  <c r="P92" i="14"/>
  <c r="Q194" i="15"/>
  <c r="D31" i="41" s="1"/>
  <c r="G31" i="41" s="1"/>
  <c r="P108" i="14"/>
  <c r="Q177" i="15"/>
  <c r="P91" i="14"/>
  <c r="P58" i="14"/>
  <c r="P143" i="14"/>
  <c r="P66" i="14"/>
  <c r="P142" i="14"/>
  <c r="Q192" i="15"/>
  <c r="P106" i="14"/>
  <c r="P89" i="14"/>
  <c r="P62" i="14"/>
  <c r="P226" i="14"/>
  <c r="Q421" i="15"/>
  <c r="E374" i="34" s="1"/>
  <c r="P229" i="14"/>
  <c r="Q420" i="15"/>
  <c r="P228" i="14"/>
  <c r="Q419" i="15"/>
  <c r="P227" i="14"/>
  <c r="P152" i="14"/>
  <c r="H31" i="20" s="1"/>
  <c r="Q269" i="15"/>
  <c r="Q272" i="15"/>
  <c r="P159" i="14"/>
  <c r="Q278" i="15"/>
  <c r="P161" i="14"/>
  <c r="Q268" i="15"/>
  <c r="E246" i="34" s="1"/>
  <c r="P155" i="14"/>
  <c r="Q322" i="15"/>
  <c r="Q263" i="15"/>
  <c r="E242" i="34" s="1"/>
  <c r="Q264" i="15"/>
  <c r="E243" i="34" s="1"/>
  <c r="Q186" i="15"/>
  <c r="Q195" i="15"/>
  <c r="Q175" i="15"/>
  <c r="D13" i="41" s="1"/>
  <c r="G13" i="41" s="1"/>
  <c r="Q173" i="15"/>
  <c r="D11" i="41" s="1"/>
  <c r="G11" i="41" s="1"/>
  <c r="Q191" i="15"/>
  <c r="Q104" i="15"/>
  <c r="E54" i="34" s="1"/>
  <c r="Q302" i="15"/>
  <c r="P32" i="39" l="1"/>
  <c r="P20" i="39"/>
  <c r="B11" i="45" s="1"/>
  <c r="J39" i="41"/>
  <c r="B209" i="45" s="1"/>
  <c r="P26" i="39"/>
  <c r="Q26" i="39" s="1"/>
  <c r="B27" i="45" s="1"/>
  <c r="I39" i="41"/>
  <c r="B162" i="45" s="1"/>
  <c r="H52" i="41"/>
  <c r="I52" i="41"/>
  <c r="B175" i="45" s="1"/>
  <c r="J52" i="41"/>
  <c r="B222" i="45" s="1"/>
  <c r="AC36" i="44"/>
  <c r="C468" i="34" s="1"/>
  <c r="D468" i="34" s="1"/>
  <c r="A36" i="44"/>
  <c r="G30" i="41"/>
  <c r="R36" i="31"/>
  <c r="B281" i="45" s="1"/>
  <c r="D46" i="41"/>
  <c r="G46" i="41" s="1"/>
  <c r="D45" i="41"/>
  <c r="G45" i="41" s="1"/>
  <c r="F35" i="31"/>
  <c r="L35" i="31" s="1"/>
  <c r="B13" i="45"/>
  <c r="R32" i="39"/>
  <c r="B57" i="45" s="1"/>
  <c r="Q32" i="39"/>
  <c r="B33" i="45" s="1"/>
  <c r="Q14" i="39"/>
  <c r="B21" i="45" s="1"/>
  <c r="AM512" i="24"/>
  <c r="AM513" i="24" s="1"/>
  <c r="AK512" i="24"/>
  <c r="AK513" i="24" s="1"/>
  <c r="AJ512" i="24"/>
  <c r="AJ513" i="24" s="1"/>
  <c r="AO512" i="24"/>
  <c r="AO513" i="24" s="1"/>
  <c r="AN512" i="24"/>
  <c r="AN513" i="24" s="1"/>
  <c r="H40" i="20"/>
  <c r="I40" i="20" s="1"/>
  <c r="G35" i="41"/>
  <c r="E178" i="34"/>
  <c r="D34" i="41"/>
  <c r="E117" i="34"/>
  <c r="F44" i="41"/>
  <c r="G44" i="41" s="1"/>
  <c r="E365" i="34"/>
  <c r="E16" i="41"/>
  <c r="E372" i="34"/>
  <c r="E34" i="41"/>
  <c r="E151" i="34"/>
  <c r="D49" i="41"/>
  <c r="G49" i="41" s="1"/>
  <c r="E187" i="34"/>
  <c r="D38" i="41"/>
  <c r="G38" i="41" s="1"/>
  <c r="E371" i="34"/>
  <c r="E33" i="41"/>
  <c r="E163" i="34"/>
  <c r="D16" i="41"/>
  <c r="E368" i="34"/>
  <c r="E23" i="41"/>
  <c r="E95" i="34"/>
  <c r="F17" i="41"/>
  <c r="E375" i="34"/>
  <c r="E28" i="41"/>
  <c r="D41" i="41"/>
  <c r="G41" i="41" s="1"/>
  <c r="E176" i="34"/>
  <c r="D32" i="41"/>
  <c r="G32" i="41" s="1"/>
  <c r="E373" i="34"/>
  <c r="E36" i="41"/>
  <c r="G36" i="41" s="1"/>
  <c r="E172" i="34"/>
  <c r="D25" i="41"/>
  <c r="G25" i="41" s="1"/>
  <c r="E167" i="34"/>
  <c r="D23" i="41"/>
  <c r="E158" i="34"/>
  <c r="D18" i="41"/>
  <c r="G18" i="41" s="1"/>
  <c r="AE178" i="15"/>
  <c r="D19" i="41"/>
  <c r="G19" i="41" s="1"/>
  <c r="E166" i="34"/>
  <c r="D17" i="41"/>
  <c r="D33" i="41"/>
  <c r="AM97" i="24"/>
  <c r="AL97" i="24"/>
  <c r="AO97" i="24"/>
  <c r="AK97" i="24"/>
  <c r="AN97" i="24"/>
  <c r="AJ97" i="24"/>
  <c r="AO59" i="24"/>
  <c r="AK59" i="24"/>
  <c r="AN59" i="24"/>
  <c r="AJ59" i="24"/>
  <c r="AM59" i="24"/>
  <c r="AL59" i="24"/>
  <c r="AN666" i="24"/>
  <c r="AJ666" i="24"/>
  <c r="AM666" i="24"/>
  <c r="AM668" i="24" s="1"/>
  <c r="AL666" i="24"/>
  <c r="AL668" i="24" s="1"/>
  <c r="AO666" i="24"/>
  <c r="AO668" i="24" s="1"/>
  <c r="AK666" i="24"/>
  <c r="AN531" i="24"/>
  <c r="AJ531" i="24"/>
  <c r="AM531" i="24"/>
  <c r="AL531" i="24"/>
  <c r="AO531" i="24"/>
  <c r="AK531" i="24"/>
  <c r="AK402" i="24"/>
  <c r="AL402" i="24"/>
  <c r="AJ402" i="24"/>
  <c r="AO402" i="24"/>
  <c r="AN402" i="24"/>
  <c r="AM402" i="24"/>
  <c r="AJ251" i="24"/>
  <c r="AM251" i="24"/>
  <c r="AL251" i="24"/>
  <c r="AO251" i="24"/>
  <c r="AK251" i="24"/>
  <c r="AN251" i="24"/>
  <c r="AL435" i="24"/>
  <c r="AL437" i="24" s="1"/>
  <c r="AO435" i="24"/>
  <c r="AO437" i="24" s="1"/>
  <c r="AK435" i="24"/>
  <c r="AK437" i="24" s="1"/>
  <c r="AN435" i="24"/>
  <c r="AN437" i="24" s="1"/>
  <c r="AJ435" i="24"/>
  <c r="AJ437" i="24" s="1"/>
  <c r="AM435" i="24"/>
  <c r="AM437" i="24" s="1"/>
  <c r="AN519" i="24"/>
  <c r="AJ519" i="24"/>
  <c r="AM519" i="24"/>
  <c r="AL519" i="24"/>
  <c r="AO519" i="24"/>
  <c r="AK519" i="24"/>
  <c r="AN357" i="24"/>
  <c r="AN359" i="24" s="1"/>
  <c r="AJ357" i="24"/>
  <c r="AJ359" i="24" s="1"/>
  <c r="AM357" i="24"/>
  <c r="AM359" i="24" s="1"/>
  <c r="AL357" i="24"/>
  <c r="AL359" i="24" s="1"/>
  <c r="AO357" i="24"/>
  <c r="AO359" i="24" s="1"/>
  <c r="AK357" i="24"/>
  <c r="AK359" i="24" s="1"/>
  <c r="B294" i="34"/>
  <c r="A404" i="24"/>
  <c r="AM116" i="24"/>
  <c r="AL116" i="24"/>
  <c r="AO116" i="24"/>
  <c r="AK116" i="24"/>
  <c r="AN116" i="24"/>
  <c r="AJ116" i="24"/>
  <c r="AN301" i="24"/>
  <c r="AN302" i="24" s="1"/>
  <c r="AJ301" i="24"/>
  <c r="AJ302" i="24" s="1"/>
  <c r="AM301" i="24"/>
  <c r="AM302" i="24" s="1"/>
  <c r="AL301" i="24"/>
  <c r="AL302" i="24" s="1"/>
  <c r="AO301" i="24"/>
  <c r="AO302" i="24" s="1"/>
  <c r="AK301" i="24"/>
  <c r="AK302" i="24" s="1"/>
  <c r="AN493" i="24"/>
  <c r="AN494" i="24" s="1"/>
  <c r="AJ493" i="24"/>
  <c r="AJ494" i="24" s="1"/>
  <c r="AM493" i="24"/>
  <c r="AM494" i="24" s="1"/>
  <c r="AL493" i="24"/>
  <c r="AL494" i="24" s="1"/>
  <c r="AO493" i="24"/>
  <c r="AO494" i="24" s="1"/>
  <c r="AK493" i="24"/>
  <c r="AK494" i="24" s="1"/>
  <c r="AM135" i="24"/>
  <c r="AL135" i="24"/>
  <c r="AO135" i="24"/>
  <c r="AK135" i="24"/>
  <c r="AN135" i="24"/>
  <c r="AJ135" i="24"/>
  <c r="AL537" i="24"/>
  <c r="AL540" i="24" s="1"/>
  <c r="AO537" i="24"/>
  <c r="AO540" i="24" s="1"/>
  <c r="AK537" i="24"/>
  <c r="AK540" i="24" s="1"/>
  <c r="AN537" i="24"/>
  <c r="AN540" i="24" s="1"/>
  <c r="AJ537" i="24"/>
  <c r="AJ540" i="24" s="1"/>
  <c r="AM537" i="24"/>
  <c r="AM540" i="24" s="1"/>
  <c r="AO262" i="24"/>
  <c r="AO264" i="24" s="1"/>
  <c r="AK262" i="24"/>
  <c r="AK264" i="24" s="1"/>
  <c r="AN262" i="24"/>
  <c r="AN264" i="24" s="1"/>
  <c r="AJ262" i="24"/>
  <c r="AJ264" i="24" s="1"/>
  <c r="AM262" i="24"/>
  <c r="AM264" i="24" s="1"/>
  <c r="AL262" i="24"/>
  <c r="AL264" i="24" s="1"/>
  <c r="AN376" i="24"/>
  <c r="AN378" i="24" s="1"/>
  <c r="AJ376" i="24"/>
  <c r="AJ378" i="24" s="1"/>
  <c r="AM376" i="24"/>
  <c r="AM378" i="24" s="1"/>
  <c r="AL376" i="24"/>
  <c r="AL378" i="24" s="1"/>
  <c r="AO376" i="24"/>
  <c r="AO378" i="24" s="1"/>
  <c r="AK376" i="24"/>
  <c r="AK378" i="24" s="1"/>
  <c r="AN724" i="24"/>
  <c r="AJ724" i="24"/>
  <c r="AM724" i="24"/>
  <c r="AL724" i="24"/>
  <c r="AO724" i="24"/>
  <c r="AK724" i="24"/>
  <c r="AL723" i="24"/>
  <c r="AO723" i="24"/>
  <c r="AK723" i="24"/>
  <c r="AN723" i="24"/>
  <c r="AJ723" i="24"/>
  <c r="AM723" i="24"/>
  <c r="AL28" i="24"/>
  <c r="AM28" i="24"/>
  <c r="E25" i="20"/>
  <c r="I25" i="20" s="1"/>
  <c r="AX114" i="15"/>
  <c r="AE114" i="15"/>
  <c r="AE159" i="15" s="1"/>
  <c r="E57" i="34"/>
  <c r="AE107" i="15"/>
  <c r="E58" i="20"/>
  <c r="AH56" i="20"/>
  <c r="H58" i="20"/>
  <c r="H62" i="20"/>
  <c r="I62" i="20" s="1"/>
  <c r="N33" i="31"/>
  <c r="O34" i="31" s="1"/>
  <c r="H33" i="31"/>
  <c r="N23" i="31"/>
  <c r="N24" i="31"/>
  <c r="N22" i="31"/>
  <c r="N15" i="31"/>
  <c r="N13" i="31"/>
  <c r="N14" i="31"/>
  <c r="N16" i="31"/>
  <c r="N20" i="31"/>
  <c r="N19" i="31"/>
  <c r="H31" i="31"/>
  <c r="AA300" i="15"/>
  <c r="AL15" i="24"/>
  <c r="L12" i="43" s="1"/>
  <c r="AM15" i="24"/>
  <c r="O12" i="43" s="1"/>
  <c r="AJ340" i="24"/>
  <c r="H535" i="24"/>
  <c r="E535" i="24" s="1"/>
  <c r="AH534" i="24"/>
  <c r="AH535" i="24" s="1"/>
  <c r="AG534" i="24"/>
  <c r="AG535" i="24" s="1"/>
  <c r="X300" i="15"/>
  <c r="Y300" i="15"/>
  <c r="AB300" i="15"/>
  <c r="Z300" i="15"/>
  <c r="V300" i="15"/>
  <c r="AQ300" i="15" s="1"/>
  <c r="AO210" i="24"/>
  <c r="AN210" i="24"/>
  <c r="AK210" i="24"/>
  <c r="AK15" i="24" s="1"/>
  <c r="R660" i="24"/>
  <c r="Y660" i="24" s="1"/>
  <c r="AH656" i="24"/>
  <c r="AH660" i="24"/>
  <c r="AL660" i="24"/>
  <c r="AM660" i="24"/>
  <c r="AH666" i="24"/>
  <c r="AH668" i="24" s="1"/>
  <c r="AJ210" i="24"/>
  <c r="AJ15" i="24" s="1"/>
  <c r="AK668" i="24"/>
  <c r="U660" i="24"/>
  <c r="AA660" i="24" s="1"/>
  <c r="AI656" i="24"/>
  <c r="AI660" i="24" s="1"/>
  <c r="AN660" i="24"/>
  <c r="AN417" i="24"/>
  <c r="AM417" i="24"/>
  <c r="AL417" i="24"/>
  <c r="AO417" i="24"/>
  <c r="AI666" i="24"/>
  <c r="AI668" i="24" s="1"/>
  <c r="AN668" i="24"/>
  <c r="K660" i="24"/>
  <c r="L664" i="24" s="1"/>
  <c r="AG656" i="24"/>
  <c r="AG660" i="24" s="1"/>
  <c r="AJ660" i="24"/>
  <c r="AK660" i="24"/>
  <c r="H660" i="24"/>
  <c r="AK340" i="24"/>
  <c r="AG666" i="24"/>
  <c r="AG668" i="24" s="1"/>
  <c r="AJ668" i="24"/>
  <c r="R668" i="24"/>
  <c r="Y668" i="24" s="1"/>
  <c r="K519" i="24"/>
  <c r="AG519" i="24" s="1"/>
  <c r="R251" i="24"/>
  <c r="AH251" i="24" s="1"/>
  <c r="K194" i="24"/>
  <c r="AG194" i="24" s="1"/>
  <c r="U189" i="24"/>
  <c r="AI189" i="24" s="1"/>
  <c r="R331" i="24"/>
  <c r="U585" i="24"/>
  <c r="U587" i="24" s="1"/>
  <c r="AA587" i="24" s="1"/>
  <c r="K593" i="24"/>
  <c r="R186" i="24"/>
  <c r="AH186" i="24" s="1"/>
  <c r="H148" i="24"/>
  <c r="R269" i="24"/>
  <c r="K518" i="24"/>
  <c r="U419" i="24"/>
  <c r="H419" i="24"/>
  <c r="U128" i="24"/>
  <c r="AI128" i="24" s="1"/>
  <c r="K420" i="24"/>
  <c r="H420" i="24"/>
  <c r="U428" i="24"/>
  <c r="H428" i="24"/>
  <c r="U553" i="24"/>
  <c r="AI553" i="24" s="1"/>
  <c r="K265" i="24"/>
  <c r="H267" i="24" s="1"/>
  <c r="H415" i="24"/>
  <c r="K250" i="24"/>
  <c r="AG250" i="24" s="1"/>
  <c r="R175" i="24"/>
  <c r="AH175" i="24" s="1"/>
  <c r="R408" i="24"/>
  <c r="R542" i="24"/>
  <c r="R149" i="24"/>
  <c r="H149" i="24"/>
  <c r="AG149" i="24" s="1"/>
  <c r="K511" i="24"/>
  <c r="R129" i="24"/>
  <c r="AH129" i="24" s="1"/>
  <c r="K466" i="24"/>
  <c r="R147" i="24"/>
  <c r="H147" i="24"/>
  <c r="R71" i="24"/>
  <c r="AH71" i="24" s="1"/>
  <c r="AG594" i="24"/>
  <c r="K78" i="24"/>
  <c r="K80" i="24" s="1"/>
  <c r="W80" i="24" s="1"/>
  <c r="R346" i="24"/>
  <c r="AH346" i="24" s="1"/>
  <c r="K537" i="24"/>
  <c r="H537" i="24"/>
  <c r="K270" i="24"/>
  <c r="AG270" i="24" s="1"/>
  <c r="U281" i="24"/>
  <c r="AI281" i="24" s="1"/>
  <c r="R543" i="24"/>
  <c r="AH543" i="24" s="1"/>
  <c r="R573" i="24"/>
  <c r="AH573" i="24" s="1"/>
  <c r="K282" i="24"/>
  <c r="AG282" i="24" s="1"/>
  <c r="K72" i="24"/>
  <c r="AG72" i="24" s="1"/>
  <c r="K523" i="24"/>
  <c r="H525" i="24" s="1"/>
  <c r="K51" i="24"/>
  <c r="H51" i="24"/>
  <c r="R59" i="24"/>
  <c r="H59" i="24"/>
  <c r="R58" i="24"/>
  <c r="H58" i="24"/>
  <c r="U668" i="24"/>
  <c r="AA668" i="24" s="1"/>
  <c r="K668" i="24"/>
  <c r="W668" i="24" s="1"/>
  <c r="AC422" i="15"/>
  <c r="U331" i="24"/>
  <c r="E85" i="34"/>
  <c r="Q52" i="14"/>
  <c r="E147" i="34"/>
  <c r="Q80" i="14"/>
  <c r="E190" i="34"/>
  <c r="Q123" i="14"/>
  <c r="E86" i="34"/>
  <c r="Q53" i="14"/>
  <c r="K408" i="24"/>
  <c r="K428" i="24"/>
  <c r="K543" i="24"/>
  <c r="AG543" i="24" s="1"/>
  <c r="U129" i="24"/>
  <c r="AI129" i="24" s="1"/>
  <c r="AH594" i="24"/>
  <c r="R428" i="24"/>
  <c r="U71" i="24"/>
  <c r="AI71" i="24" s="1"/>
  <c r="R466" i="24"/>
  <c r="R265" i="24"/>
  <c r="AH265" i="24" s="1"/>
  <c r="R553" i="24"/>
  <c r="AH553" i="24" s="1"/>
  <c r="AC300" i="15"/>
  <c r="K585" i="24"/>
  <c r="Z422" i="15"/>
  <c r="U186" i="24"/>
  <c r="AI186" i="24" s="1"/>
  <c r="R72" i="24"/>
  <c r="AH72" i="24" s="1"/>
  <c r="V221" i="15"/>
  <c r="F199" i="34" s="1"/>
  <c r="U523" i="24"/>
  <c r="K189" i="24"/>
  <c r="AG189" i="24" s="1"/>
  <c r="AA221" i="15"/>
  <c r="AB221" i="15"/>
  <c r="R282" i="24"/>
  <c r="AH282" i="24" s="1"/>
  <c r="R523" i="24"/>
  <c r="Y221" i="15"/>
  <c r="Z221" i="15"/>
  <c r="AC221" i="15"/>
  <c r="X221" i="15"/>
  <c r="U543" i="24"/>
  <c r="AI543"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U51" i="24"/>
  <c r="AI51" i="24" s="1"/>
  <c r="K553" i="24"/>
  <c r="R51" i="24"/>
  <c r="B210" i="34"/>
  <c r="B211" i="34" s="1"/>
  <c r="B212" i="34" s="1"/>
  <c r="B213" i="34" s="1"/>
  <c r="K573" i="24"/>
  <c r="U573" i="24"/>
  <c r="AI573" i="24" s="1"/>
  <c r="R593" i="24"/>
  <c r="AH593" i="24" s="1"/>
  <c r="U282" i="24"/>
  <c r="AI282" i="24" s="1"/>
  <c r="Y407" i="15"/>
  <c r="K281" i="24"/>
  <c r="K71" i="24"/>
  <c r="R511" i="24"/>
  <c r="AH511" i="24" s="1"/>
  <c r="U466" i="24"/>
  <c r="AI594" i="24"/>
  <c r="K129" i="24"/>
  <c r="AG129" i="24" s="1"/>
  <c r="R281" i="24"/>
  <c r="AH281" i="24" s="1"/>
  <c r="U511" i="24"/>
  <c r="AI511" i="24" s="1"/>
  <c r="K331" i="24"/>
  <c r="E154" i="34"/>
  <c r="E155" i="34"/>
  <c r="U542" i="24"/>
  <c r="R420" i="24"/>
  <c r="AH420" i="24" s="1"/>
  <c r="K542" i="24"/>
  <c r="X422" i="15"/>
  <c r="Y422" i="15"/>
  <c r="U593" i="24"/>
  <c r="AI593" i="24" s="1"/>
  <c r="V422" i="15"/>
  <c r="F375" i="34" s="1"/>
  <c r="AA422" i="15"/>
  <c r="R585" i="24"/>
  <c r="Z208" i="15"/>
  <c r="AB422" i="15"/>
  <c r="Y208" i="15"/>
  <c r="AA208" i="15"/>
  <c r="K269" i="24"/>
  <c r="AC208" i="15"/>
  <c r="AB208" i="15"/>
  <c r="X208" i="15"/>
  <c r="AU113" i="15"/>
  <c r="AY113" i="15"/>
  <c r="K419" i="24"/>
  <c r="U147" i="24"/>
  <c r="AI147" i="24" s="1"/>
  <c r="U265" i="24"/>
  <c r="AI265" i="24" s="1"/>
  <c r="R419" i="24"/>
  <c r="AH419" i="24" s="1"/>
  <c r="U72" i="24"/>
  <c r="AI72" i="24" s="1"/>
  <c r="K186" i="24"/>
  <c r="H188" i="24" s="1"/>
  <c r="U420" i="24"/>
  <c r="AV113" i="15"/>
  <c r="AW113" i="15"/>
  <c r="AS113" i="15"/>
  <c r="R148" i="24"/>
  <c r="U148" i="24"/>
  <c r="AI148" i="24" s="1"/>
  <c r="U408" i="24"/>
  <c r="AY114" i="15"/>
  <c r="AV114" i="15"/>
  <c r="AS114" i="15"/>
  <c r="AU114" i="15"/>
  <c r="AW114" i="15"/>
  <c r="AZ114" i="15"/>
  <c r="K128" i="24"/>
  <c r="R189" i="24"/>
  <c r="AH189" i="24" s="1"/>
  <c r="R128" i="24"/>
  <c r="AH128" i="24" s="1"/>
  <c r="U149" i="24"/>
  <c r="AI149" i="24" s="1"/>
  <c r="E106" i="34"/>
  <c r="E84" i="34"/>
  <c r="AU112" i="15"/>
  <c r="R518" i="24"/>
  <c r="AZ113" i="15"/>
  <c r="AX113" i="15"/>
  <c r="E174" i="34"/>
  <c r="Q47" i="14"/>
  <c r="E165" i="34"/>
  <c r="AZ202" i="15"/>
  <c r="E183" i="34"/>
  <c r="E96" i="34"/>
  <c r="E275" i="34"/>
  <c r="AE105" i="15"/>
  <c r="E160" i="34"/>
  <c r="E256" i="34"/>
  <c r="V140" i="15"/>
  <c r="E108" i="34"/>
  <c r="Y246" i="15"/>
  <c r="E217" i="34"/>
  <c r="E119" i="34"/>
  <c r="AE204" i="15"/>
  <c r="E185" i="34"/>
  <c r="Y123" i="15"/>
  <c r="E93" i="34"/>
  <c r="E173" i="34"/>
  <c r="E175" i="34"/>
  <c r="E156" i="34"/>
  <c r="E107" i="34"/>
  <c r="E120" i="34"/>
  <c r="E152" i="34"/>
  <c r="V190" i="15"/>
  <c r="F171" i="34" s="1"/>
  <c r="E171" i="34"/>
  <c r="E115" i="34"/>
  <c r="AE181" i="15"/>
  <c r="E162" i="34"/>
  <c r="E297" i="34"/>
  <c r="X156" i="15"/>
  <c r="E121" i="34"/>
  <c r="E197" i="34"/>
  <c r="Z423" i="15"/>
  <c r="E376" i="34"/>
  <c r="Q114" i="14"/>
  <c r="E181" i="34"/>
  <c r="E319" i="34"/>
  <c r="E276" i="34"/>
  <c r="E247" i="34"/>
  <c r="E291" i="34"/>
  <c r="V272" i="15"/>
  <c r="AL272" i="15" s="1"/>
  <c r="E250" i="34"/>
  <c r="E159" i="34"/>
  <c r="E94" i="34"/>
  <c r="E258" i="34"/>
  <c r="E257" i="34"/>
  <c r="E157" i="34"/>
  <c r="E295" i="34"/>
  <c r="E153" i="34"/>
  <c r="Z406" i="15"/>
  <c r="E364" i="34"/>
  <c r="V217" i="15"/>
  <c r="F195" i="34" s="1"/>
  <c r="E195" i="34"/>
  <c r="E102" i="34"/>
  <c r="Q63" i="14"/>
  <c r="E105" i="34"/>
  <c r="V208" i="15"/>
  <c r="AM208" i="15" s="1"/>
  <c r="E189" i="34"/>
  <c r="E377" i="34"/>
  <c r="AA417" i="15"/>
  <c r="E370" i="34"/>
  <c r="K251" i="24"/>
  <c r="AG251" i="24" s="1"/>
  <c r="R194" i="24"/>
  <c r="AH194" i="24" s="1"/>
  <c r="R519" i="24"/>
  <c r="AH519" i="24" s="1"/>
  <c r="E265" i="34"/>
  <c r="E272" i="34"/>
  <c r="X304" i="15"/>
  <c r="E279" i="34"/>
  <c r="E274" i="34"/>
  <c r="E262" i="34"/>
  <c r="E280" i="34"/>
  <c r="E277" i="34"/>
  <c r="E283" i="34"/>
  <c r="E285" i="34"/>
  <c r="E298" i="34"/>
  <c r="E261" i="34"/>
  <c r="E271" i="34"/>
  <c r="E273" i="34"/>
  <c r="E281" i="34"/>
  <c r="E104" i="34"/>
  <c r="E255" i="34"/>
  <c r="E116" i="34"/>
  <c r="K175" i="24"/>
  <c r="AG175" i="24" s="1"/>
  <c r="R250" i="24"/>
  <c r="AH250" i="24" s="1"/>
  <c r="V326" i="15"/>
  <c r="F295" i="34" s="1"/>
  <c r="AS416" i="15"/>
  <c r="AX416" i="15"/>
  <c r="AW416" i="15"/>
  <c r="AU416" i="15"/>
  <c r="AY416" i="15"/>
  <c r="AV416" i="15"/>
  <c r="AZ416" i="15"/>
  <c r="X312" i="15"/>
  <c r="AV415" i="15"/>
  <c r="AX415" i="15"/>
  <c r="AS415" i="15"/>
  <c r="AY415" i="15"/>
  <c r="AU415" i="15"/>
  <c r="AZ415" i="15"/>
  <c r="AW415" i="15"/>
  <c r="AS414" i="15"/>
  <c r="AV414" i="15"/>
  <c r="BE414" i="15" s="1"/>
  <c r="AX414" i="15"/>
  <c r="BG414" i="15" s="1"/>
  <c r="BQ414" i="15" s="1"/>
  <c r="AA408" i="15" s="1"/>
  <c r="AZ414" i="15"/>
  <c r="AY414" i="15"/>
  <c r="BH414" i="15" s="1"/>
  <c r="AU414" i="15"/>
  <c r="BD414" i="15" s="1"/>
  <c r="AW414" i="15"/>
  <c r="V322" i="15"/>
  <c r="F291" i="34" s="1"/>
  <c r="V282" i="15"/>
  <c r="F259" i="34" s="1"/>
  <c r="V290" i="15"/>
  <c r="F267" i="34" s="1"/>
  <c r="V324" i="15"/>
  <c r="F293" i="34" s="1"/>
  <c r="V170" i="15"/>
  <c r="F151" i="34" s="1"/>
  <c r="X170" i="15"/>
  <c r="AC163" i="15"/>
  <c r="V163" i="15"/>
  <c r="V311" i="15"/>
  <c r="F286" i="34" s="1"/>
  <c r="V183" i="15"/>
  <c r="F164" i="34" s="1"/>
  <c r="R270" i="24"/>
  <c r="AH270" i="24" s="1"/>
  <c r="K59" i="24"/>
  <c r="R537" i="24"/>
  <c r="K58" i="24"/>
  <c r="R403" i="24"/>
  <c r="AH403" i="24" s="1"/>
  <c r="K403" i="24"/>
  <c r="AG403" i="24" s="1"/>
  <c r="Q173" i="14"/>
  <c r="K346" i="24"/>
  <c r="AG346" i="24" s="1"/>
  <c r="K404" i="24"/>
  <c r="AG404" i="24" s="1"/>
  <c r="R404" i="24"/>
  <c r="AH404" i="24" s="1"/>
  <c r="R538" i="24"/>
  <c r="AH538" i="24" s="1"/>
  <c r="K538" i="24"/>
  <c r="K539" i="24"/>
  <c r="AG539" i="24" s="1"/>
  <c r="R539" i="24"/>
  <c r="AH539" i="24" s="1"/>
  <c r="Q198" i="14"/>
  <c r="Q158" i="14"/>
  <c r="Q196" i="14"/>
  <c r="X321" i="15"/>
  <c r="Q200" i="14"/>
  <c r="AZ112" i="15"/>
  <c r="AV112" i="15"/>
  <c r="AY112" i="15"/>
  <c r="AX112" i="15"/>
  <c r="AS112" i="15"/>
  <c r="AW112" i="15"/>
  <c r="Z417" i="15"/>
  <c r="Y417" i="15"/>
  <c r="V417" i="15"/>
  <c r="AC417" i="15"/>
  <c r="AB417" i="15"/>
  <c r="X417" i="15"/>
  <c r="AB329" i="15"/>
  <c r="Q205" i="14"/>
  <c r="Q204" i="14"/>
  <c r="K418" i="24"/>
  <c r="R418" i="24"/>
  <c r="AH418" i="24" s="1"/>
  <c r="U418" i="24"/>
  <c r="AI418" i="24" s="1"/>
  <c r="J59" i="27"/>
  <c r="U512" i="24"/>
  <c r="AI512" i="24" s="1"/>
  <c r="R512" i="24"/>
  <c r="AH512" i="24" s="1"/>
  <c r="K512" i="24"/>
  <c r="AG512" i="24" s="1"/>
  <c r="Q180" i="14"/>
  <c r="AA329" i="15"/>
  <c r="U531" i="24"/>
  <c r="R531" i="24"/>
  <c r="K531" i="24"/>
  <c r="V423" i="15"/>
  <c r="AI423" i="15" s="1"/>
  <c r="K530" i="24"/>
  <c r="AG530" i="24" s="1"/>
  <c r="R530" i="24"/>
  <c r="AH530" i="24" s="1"/>
  <c r="U530" i="24"/>
  <c r="Q201" i="14"/>
  <c r="Q139" i="14"/>
  <c r="Q197" i="14"/>
  <c r="AB206" i="15"/>
  <c r="X206" i="15"/>
  <c r="AA206" i="15"/>
  <c r="Z206" i="15"/>
  <c r="V206" i="15"/>
  <c r="F187" i="34" s="1"/>
  <c r="AC206" i="15"/>
  <c r="Y206" i="15"/>
  <c r="V205" i="15"/>
  <c r="F186" i="34" s="1"/>
  <c r="AA205" i="15"/>
  <c r="Z205" i="15"/>
  <c r="AC205" i="15"/>
  <c r="Y205" i="15"/>
  <c r="AB205" i="15"/>
  <c r="X205" i="15"/>
  <c r="U492" i="24"/>
  <c r="AI492" i="24" s="1"/>
  <c r="R492" i="24"/>
  <c r="AH492" i="24" s="1"/>
  <c r="K492" i="24"/>
  <c r="U338" i="24"/>
  <c r="AI338" i="24" s="1"/>
  <c r="R338" i="24"/>
  <c r="AH338" i="24" s="1"/>
  <c r="K338" i="24"/>
  <c r="R383" i="24"/>
  <c r="AH383" i="24" s="1"/>
  <c r="AH385" i="24" s="1"/>
  <c r="K383" i="24"/>
  <c r="U455" i="24"/>
  <c r="AI455" i="24" s="1"/>
  <c r="R455" i="24"/>
  <c r="AH455" i="24" s="1"/>
  <c r="K455" i="24"/>
  <c r="AG455" i="24" s="1"/>
  <c r="U625" i="24"/>
  <c r="R625" i="24"/>
  <c r="K625" i="24"/>
  <c r="R447" i="24"/>
  <c r="U447" i="24"/>
  <c r="K447" i="24"/>
  <c r="K565" i="24"/>
  <c r="R565" i="24"/>
  <c r="U565" i="24"/>
  <c r="R357" i="24"/>
  <c r="AH357" i="24" s="1"/>
  <c r="K357" i="24"/>
  <c r="U357" i="24"/>
  <c r="AI357" i="24" s="1"/>
  <c r="U435" i="24"/>
  <c r="AI435" i="24" s="1"/>
  <c r="R435" i="24"/>
  <c r="AH435" i="24" s="1"/>
  <c r="K435" i="24"/>
  <c r="U376" i="24"/>
  <c r="AI376" i="24" s="1"/>
  <c r="R376" i="24"/>
  <c r="AH376" i="24" s="1"/>
  <c r="K376" i="24"/>
  <c r="R442" i="24"/>
  <c r="K442" i="24"/>
  <c r="K341" i="24"/>
  <c r="AG341" i="24" s="1"/>
  <c r="U341" i="24"/>
  <c r="AI341" i="24" s="1"/>
  <c r="R341" i="24"/>
  <c r="AH341" i="24" s="1"/>
  <c r="R499" i="24"/>
  <c r="K499" i="24"/>
  <c r="H501" i="24" s="1"/>
  <c r="K415" i="24"/>
  <c r="AG415" i="24" s="1"/>
  <c r="U415" i="24"/>
  <c r="R415" i="24"/>
  <c r="R461" i="24"/>
  <c r="K461" i="24"/>
  <c r="U493" i="24"/>
  <c r="AI493" i="24" s="1"/>
  <c r="R493" i="24"/>
  <c r="AH493" i="24" s="1"/>
  <c r="K493" i="24"/>
  <c r="AG493" i="24" s="1"/>
  <c r="K345" i="24"/>
  <c r="AG345" i="24" s="1"/>
  <c r="R345" i="24"/>
  <c r="R480" i="24"/>
  <c r="K480" i="24"/>
  <c r="H482" i="24" s="1"/>
  <c r="U454" i="24"/>
  <c r="AI454" i="24" s="1"/>
  <c r="R454" i="24"/>
  <c r="AH454" i="24" s="1"/>
  <c r="K454" i="24"/>
  <c r="K473" i="24"/>
  <c r="U473" i="24"/>
  <c r="AI473" i="24" s="1"/>
  <c r="R473" i="24"/>
  <c r="AH473" i="24" s="1"/>
  <c r="R364" i="24"/>
  <c r="K364" i="24"/>
  <c r="R217" i="24"/>
  <c r="U217" i="24"/>
  <c r="U613" i="24"/>
  <c r="AI613" i="24" s="1"/>
  <c r="R613" i="24"/>
  <c r="AH613" i="24" s="1"/>
  <c r="K613" i="24"/>
  <c r="R262" i="24"/>
  <c r="AH262" i="24" s="1"/>
  <c r="U262" i="24"/>
  <c r="AI262" i="24" s="1"/>
  <c r="K262" i="24"/>
  <c r="U293" i="24"/>
  <c r="R293" i="24"/>
  <c r="K339" i="24"/>
  <c r="AG339" i="24" s="1"/>
  <c r="U339" i="24"/>
  <c r="AI339" i="24" s="1"/>
  <c r="R339" i="24"/>
  <c r="AH339" i="24" s="1"/>
  <c r="K395" i="24"/>
  <c r="U395" i="24"/>
  <c r="AI395" i="24" s="1"/>
  <c r="R395" i="24"/>
  <c r="AH395" i="24" s="1"/>
  <c r="R402" i="24"/>
  <c r="AH402" i="24" s="1"/>
  <c r="K402" i="24"/>
  <c r="AG402" i="24" s="1"/>
  <c r="R423" i="24"/>
  <c r="K423" i="24"/>
  <c r="U476" i="24"/>
  <c r="AI476" i="24" s="1"/>
  <c r="R476" i="24"/>
  <c r="AH476" i="24" s="1"/>
  <c r="K476" i="24"/>
  <c r="AG476" i="24" s="1"/>
  <c r="R605" i="24"/>
  <c r="U605" i="24"/>
  <c r="K605" i="24"/>
  <c r="U112" i="24"/>
  <c r="AI112" i="24" s="1"/>
  <c r="R112" i="24"/>
  <c r="AH112" i="24" s="1"/>
  <c r="K112" i="24"/>
  <c r="AG112" i="24" s="1"/>
  <c r="R231" i="24"/>
  <c r="K231" i="24"/>
  <c r="H233" i="24" s="1"/>
  <c r="U284" i="24"/>
  <c r="AI284" i="24" s="1"/>
  <c r="R284" i="24"/>
  <c r="AH284" i="24" s="1"/>
  <c r="K284" i="24"/>
  <c r="R301" i="24"/>
  <c r="AH301" i="24" s="1"/>
  <c r="K301" i="24"/>
  <c r="AG301" i="24" s="1"/>
  <c r="U301" i="24"/>
  <c r="AI301" i="24" s="1"/>
  <c r="R319" i="24"/>
  <c r="AH319" i="24" s="1"/>
  <c r="K319" i="24"/>
  <c r="U319" i="24"/>
  <c r="AI319" i="24" s="1"/>
  <c r="R205" i="24"/>
  <c r="AH205" i="24" s="1"/>
  <c r="K205" i="24"/>
  <c r="U205" i="24"/>
  <c r="AI205" i="24" s="1"/>
  <c r="U243" i="24"/>
  <c r="AI243" i="24" s="1"/>
  <c r="R243" i="24"/>
  <c r="AH243" i="24" s="1"/>
  <c r="K243" i="24"/>
  <c r="K308" i="24"/>
  <c r="AG308" i="24" s="1"/>
  <c r="R308" i="24"/>
  <c r="AH308" i="24" s="1"/>
  <c r="R322" i="24"/>
  <c r="AH322" i="24" s="1"/>
  <c r="K322" i="24"/>
  <c r="AG322" i="24" s="1"/>
  <c r="U322" i="24"/>
  <c r="AI322" i="24" s="1"/>
  <c r="R193" i="24"/>
  <c r="K193" i="24"/>
  <c r="U209" i="24"/>
  <c r="AI209" i="24" s="1"/>
  <c r="R209" i="24"/>
  <c r="AH209" i="24" s="1"/>
  <c r="K209" i="24"/>
  <c r="AG209" i="24" s="1"/>
  <c r="K217" i="24"/>
  <c r="K293" i="24"/>
  <c r="K156" i="24"/>
  <c r="AJ157" i="24" s="1"/>
  <c r="R156" i="24"/>
  <c r="U227" i="24"/>
  <c r="AI227" i="24" s="1"/>
  <c r="R227" i="24"/>
  <c r="AH227" i="24" s="1"/>
  <c r="K227" i="24"/>
  <c r="AG227" i="24" s="1"/>
  <c r="R90" i="24"/>
  <c r="AH90" i="24" s="1"/>
  <c r="K90" i="24"/>
  <c r="H92" i="24" s="1"/>
  <c r="U90" i="24"/>
  <c r="AI90" i="24" s="1"/>
  <c r="R167" i="24"/>
  <c r="AH167" i="24" s="1"/>
  <c r="K167" i="24"/>
  <c r="H169" i="24" s="1"/>
  <c r="U167" i="24"/>
  <c r="AI167" i="24" s="1"/>
  <c r="R288" i="24"/>
  <c r="K288" i="24"/>
  <c r="R208" i="24"/>
  <c r="AH208" i="24" s="1"/>
  <c r="K208" i="24"/>
  <c r="AG208" i="24" s="1"/>
  <c r="U208" i="24"/>
  <c r="AI208" i="24" s="1"/>
  <c r="K174" i="24"/>
  <c r="R174" i="24"/>
  <c r="R116" i="24"/>
  <c r="K116" i="24"/>
  <c r="H118" i="24" s="1"/>
  <c r="K300" i="24"/>
  <c r="U300" i="24"/>
  <c r="AI300" i="24" s="1"/>
  <c r="R300" i="24"/>
  <c r="AH300" i="24" s="1"/>
  <c r="K326" i="24"/>
  <c r="R326" i="24"/>
  <c r="K212" i="24"/>
  <c r="R212" i="24"/>
  <c r="R97" i="24"/>
  <c r="K97" i="24"/>
  <c r="U225" i="24"/>
  <c r="AI225" i="24" s="1"/>
  <c r="R225" i="24"/>
  <c r="AH225" i="24" s="1"/>
  <c r="K225" i="24"/>
  <c r="AG225" i="24" s="1"/>
  <c r="R78" i="24"/>
  <c r="R303" i="24"/>
  <c r="AH303" i="24" s="1"/>
  <c r="K303" i="24"/>
  <c r="AG303" i="24" s="1"/>
  <c r="U303" i="24"/>
  <c r="AI303" i="24" s="1"/>
  <c r="R307" i="24"/>
  <c r="K307" i="24"/>
  <c r="R135" i="24"/>
  <c r="K135" i="24"/>
  <c r="U224" i="24"/>
  <c r="AI224" i="24" s="1"/>
  <c r="R224" i="24"/>
  <c r="AH224" i="24" s="1"/>
  <c r="K224" i="24"/>
  <c r="AG224" i="24" s="1"/>
  <c r="U109" i="24"/>
  <c r="AI109" i="24" s="1"/>
  <c r="R109" i="24"/>
  <c r="AH109" i="24" s="1"/>
  <c r="K109" i="24"/>
  <c r="H111" i="24" s="1"/>
  <c r="K289" i="24"/>
  <c r="AG289" i="24" s="1"/>
  <c r="R289" i="24"/>
  <c r="AH289" i="24" s="1"/>
  <c r="D656" i="24"/>
  <c r="Z163" i="15"/>
  <c r="J24" i="27"/>
  <c r="AC329" i="15"/>
  <c r="Q209" i="14"/>
  <c r="Z371" i="15"/>
  <c r="AC371" i="15"/>
  <c r="Y371" i="15"/>
  <c r="AB371" i="15"/>
  <c r="X371" i="15"/>
  <c r="V371" i="15"/>
  <c r="F319" i="34" s="1"/>
  <c r="AA371" i="15"/>
  <c r="X123" i="15"/>
  <c r="Q202" i="14"/>
  <c r="V267" i="15"/>
  <c r="F245" i="34" s="1"/>
  <c r="AB423" i="15"/>
  <c r="X163" i="15"/>
  <c r="C16" i="31"/>
  <c r="C14" i="31"/>
  <c r="C20" i="31"/>
  <c r="C23" i="31"/>
  <c r="Z123" i="15"/>
  <c r="AB163" i="15"/>
  <c r="Q211" i="15"/>
  <c r="Z211" i="15" s="1"/>
  <c r="Y329" i="15"/>
  <c r="V329" i="15"/>
  <c r="Z329" i="15"/>
  <c r="X329" i="15"/>
  <c r="Y163" i="15"/>
  <c r="Q210" i="15"/>
  <c r="Z210" i="15" s="1"/>
  <c r="V191" i="15"/>
  <c r="AA163" i="15"/>
  <c r="AC123" i="15"/>
  <c r="V123" i="15"/>
  <c r="F93" i="34" s="1"/>
  <c r="V154" i="15"/>
  <c r="AL154" i="15" s="1"/>
  <c r="AB312" i="15"/>
  <c r="BD193" i="15"/>
  <c r="BM193" i="15" s="1"/>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C33" i="31"/>
  <c r="V247" i="15"/>
  <c r="AB247" i="15"/>
  <c r="AB183" i="15"/>
  <c r="J40" i="27"/>
  <c r="AE236"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C31" i="31"/>
  <c r="Q48" i="14"/>
  <c r="AA312" i="15"/>
  <c r="AS189" i="15"/>
  <c r="AE189" i="15"/>
  <c r="AZ296" i="15"/>
  <c r="AV296" i="15"/>
  <c r="AY296" i="15"/>
  <c r="AU296" i="15"/>
  <c r="AX296" i="15"/>
  <c r="AS296" i="15"/>
  <c r="AW296" i="15"/>
  <c r="X250" i="15"/>
  <c r="Q117" i="14"/>
  <c r="AE203" i="15"/>
  <c r="V180" i="15"/>
  <c r="Y312" i="15"/>
  <c r="V186" i="15"/>
  <c r="AB123" i="15"/>
  <c r="AA123" i="15"/>
  <c r="Q135" i="15"/>
  <c r="F28" i="41" s="1"/>
  <c r="H331" i="24"/>
  <c r="J26" i="27"/>
  <c r="AC191" i="15"/>
  <c r="X302" i="15"/>
  <c r="AC171" i="15"/>
  <c r="AA288" i="15"/>
  <c r="AB218" i="15"/>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AU202" i="15"/>
  <c r="AW202" i="15"/>
  <c r="AY202" i="15"/>
  <c r="AY201" i="15"/>
  <c r="AX202" i="15"/>
  <c r="AX201" i="15"/>
  <c r="AV202" i="15"/>
  <c r="AS202" i="15"/>
  <c r="AU201" i="15"/>
  <c r="AS201" i="15"/>
  <c r="AV201" i="15"/>
  <c r="AZ201" i="15"/>
  <c r="AX236" i="15"/>
  <c r="AV236" i="15"/>
  <c r="AZ236" i="15"/>
  <c r="Y423" i="15"/>
  <c r="AA423" i="15"/>
  <c r="AY236" i="15"/>
  <c r="AU236" i="15"/>
  <c r="AC423" i="15"/>
  <c r="AW236" i="15"/>
  <c r="AS236" i="15"/>
  <c r="X423" i="15"/>
  <c r="Q170" i="14"/>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V407" i="15"/>
  <c r="T115" i="16"/>
  <c r="T116" i="16"/>
  <c r="AB407" i="15"/>
  <c r="Q46" i="14"/>
  <c r="Q45" i="14"/>
  <c r="V220" i="15"/>
  <c r="F198" i="34" s="1"/>
  <c r="Q95" i="14"/>
  <c r="V125" i="15"/>
  <c r="F95" i="34" s="1"/>
  <c r="AA156" i="15"/>
  <c r="AU244" i="15"/>
  <c r="Q151" i="14"/>
  <c r="J50" i="27"/>
  <c r="V138" i="15"/>
  <c r="F106" i="34" s="1"/>
  <c r="Q98" i="14"/>
  <c r="Q152" i="14"/>
  <c r="AS235" i="15"/>
  <c r="J39" i="27"/>
  <c r="V157" i="15"/>
  <c r="F122" i="34" s="1"/>
  <c r="Q146" i="14"/>
  <c r="AL482" i="34" s="1"/>
  <c r="J42" i="27"/>
  <c r="V207" i="15"/>
  <c r="F188" i="34" s="1"/>
  <c r="Q82" i="14"/>
  <c r="J32" i="27"/>
  <c r="Q81" i="14"/>
  <c r="J46" i="27"/>
  <c r="Q153" i="14"/>
  <c r="V197" i="15"/>
  <c r="F178" i="34" s="1"/>
  <c r="V249" i="15"/>
  <c r="F220" i="34" s="1"/>
  <c r="AS244" i="15"/>
  <c r="AB406" i="15"/>
  <c r="V246" i="15"/>
  <c r="F217" i="34" s="1"/>
  <c r="V406" i="15"/>
  <c r="F364" i="34" s="1"/>
  <c r="Y406" i="15"/>
  <c r="AC157" i="15"/>
  <c r="AA406" i="15"/>
  <c r="AC406" i="15"/>
  <c r="V185" i="15"/>
  <c r="F166" i="34" s="1"/>
  <c r="X185" i="15"/>
  <c r="X406" i="15"/>
  <c r="V250" i="15"/>
  <c r="F221" i="34" s="1"/>
  <c r="Z250" i="15"/>
  <c r="AC250" i="15"/>
  <c r="Y250" i="15"/>
  <c r="AA250" i="15"/>
  <c r="AB250" i="15"/>
  <c r="AA407" i="15"/>
  <c r="AC407" i="15"/>
  <c r="X407" i="15"/>
  <c r="Z407" i="15"/>
  <c r="V149" i="15"/>
  <c r="F115" i="34" s="1"/>
  <c r="X220" i="15"/>
  <c r="V136" i="15"/>
  <c r="F104" i="34" s="1"/>
  <c r="V126" i="15"/>
  <c r="F96" i="34" s="1"/>
  <c r="V139" i="15"/>
  <c r="F107" i="34" s="1"/>
  <c r="V150" i="15"/>
  <c r="F116" i="34" s="1"/>
  <c r="Q198" i="15"/>
  <c r="D28" i="41" s="1"/>
  <c r="G28" i="41" s="1"/>
  <c r="H319" i="24"/>
  <c r="Q129" i="14"/>
  <c r="Q234" i="14"/>
  <c r="F37" i="42" s="1"/>
  <c r="G37" i="42" s="1"/>
  <c r="AS245" i="15"/>
  <c r="AS234" i="15"/>
  <c r="V182" i="15"/>
  <c r="F163" i="34" s="1"/>
  <c r="V124" i="15"/>
  <c r="F94" i="34" s="1"/>
  <c r="Q184" i="14"/>
  <c r="V134" i="15"/>
  <c r="F102" i="34" s="1"/>
  <c r="Z156" i="15"/>
  <c r="AC156" i="15"/>
  <c r="AA157" i="15"/>
  <c r="Z157" i="15"/>
  <c r="Y157" i="15"/>
  <c r="Q179" i="14"/>
  <c r="AB157" i="15"/>
  <c r="X157" i="15"/>
  <c r="Q248" i="15"/>
  <c r="Y156" i="15"/>
  <c r="AB156" i="15"/>
  <c r="Q75" i="14"/>
  <c r="V156" i="15"/>
  <c r="F121" i="34" s="1"/>
  <c r="Q74" i="14"/>
  <c r="Q193" i="14"/>
  <c r="Q230" i="14"/>
  <c r="F31" i="42" s="1"/>
  <c r="G31" i="42" s="1"/>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AL471" i="34"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AX188" i="15"/>
  <c r="AU188" i="15"/>
  <c r="AY188" i="15"/>
  <c r="AV188" i="15"/>
  <c r="AZ188" i="15"/>
  <c r="AW188" i="15"/>
  <c r="Q103" i="14"/>
  <c r="AV189" i="15"/>
  <c r="AZ189" i="15"/>
  <c r="AW189" i="15"/>
  <c r="AX189" i="15"/>
  <c r="AU189" i="15"/>
  <c r="AY189" i="15"/>
  <c r="AX243" i="15"/>
  <c r="AS243" i="15"/>
  <c r="BF193" i="15"/>
  <c r="BO193" i="15" s="1"/>
  <c r="BH193" i="15"/>
  <c r="BQ193" i="15" s="1"/>
  <c r="Q101" i="14"/>
  <c r="AV187" i="15"/>
  <c r="AZ187" i="15"/>
  <c r="AW187" i="15"/>
  <c r="AX187" i="15"/>
  <c r="AY187" i="15"/>
  <c r="AW177" i="15"/>
  <c r="AS177" i="15"/>
  <c r="AX177" i="15"/>
  <c r="AY177" i="15"/>
  <c r="AV177" i="15"/>
  <c r="AZ177" i="15"/>
  <c r="Q70" i="14"/>
  <c r="BJ193" i="15"/>
  <c r="BS193" i="15" s="1"/>
  <c r="AU186" i="15"/>
  <c r="BD187" i="15" s="1"/>
  <c r="AS186" i="15"/>
  <c r="BB187" i="15" s="1"/>
  <c r="BK187" i="15" s="1"/>
  <c r="Q137" i="14"/>
  <c r="Q119" i="14"/>
  <c r="BG193" i="15"/>
  <c r="BP193" i="15" s="1"/>
  <c r="Q118" i="14"/>
  <c r="Y125" i="15"/>
  <c r="AC125" i="15"/>
  <c r="Q57" i="14"/>
  <c r="Q175" i="14"/>
  <c r="Q130" i="14"/>
  <c r="AL501" i="34" s="1"/>
  <c r="Q171" i="14"/>
  <c r="AZ243" i="15"/>
  <c r="AB151" i="15"/>
  <c r="AA125" i="15"/>
  <c r="Q185" i="14"/>
  <c r="Q168" i="14"/>
  <c r="Q116" i="14"/>
  <c r="Q113" i="14"/>
  <c r="Q94" i="14"/>
  <c r="AA151" i="15"/>
  <c r="X151" i="15"/>
  <c r="X125" i="15"/>
  <c r="AB125" i="15"/>
  <c r="AV243" i="15"/>
  <c r="Q186" i="14"/>
  <c r="Z125" i="15"/>
  <c r="Q189" i="14"/>
  <c r="Q178" i="14"/>
  <c r="Y151" i="15"/>
  <c r="Z151" i="15"/>
  <c r="AC151" i="15"/>
  <c r="AU243" i="15"/>
  <c r="AW243" i="15"/>
  <c r="AY243" i="15"/>
  <c r="Q195" i="14"/>
  <c r="Q228" i="14"/>
  <c r="F29" i="42" s="1"/>
  <c r="G29" i="42" s="1"/>
  <c r="Q226" i="14"/>
  <c r="F27" i="42" s="1"/>
  <c r="Q115" i="14"/>
  <c r="Q65" i="14"/>
  <c r="AA139" i="15"/>
  <c r="Z139" i="15"/>
  <c r="AC139" i="15"/>
  <c r="Y139" i="15"/>
  <c r="AB139" i="15"/>
  <c r="X139" i="15"/>
  <c r="Q93" i="14"/>
  <c r="AL481" i="34" s="1"/>
  <c r="AZ179" i="15"/>
  <c r="AW179" i="15"/>
  <c r="AU179" i="15"/>
  <c r="AY179" i="15"/>
  <c r="AX179" i="15"/>
  <c r="Q141" i="14"/>
  <c r="AL507" i="34" s="1"/>
  <c r="AX245" i="15"/>
  <c r="AW245" i="15"/>
  <c r="AZ245" i="15"/>
  <c r="AV245" i="15"/>
  <c r="AY245" i="15"/>
  <c r="AU245" i="15"/>
  <c r="Q69" i="14"/>
  <c r="AC150" i="15"/>
  <c r="Y150" i="15"/>
  <c r="AB150" i="15"/>
  <c r="X150" i="15"/>
  <c r="AA150" i="15"/>
  <c r="Z150" i="15"/>
  <c r="Q64" i="14"/>
  <c r="AC138" i="15"/>
  <c r="Y138" i="15"/>
  <c r="AB138" i="15"/>
  <c r="X138" i="15"/>
  <c r="AA138" i="15"/>
  <c r="Z138" i="15"/>
  <c r="Q164" i="14"/>
  <c r="Q218" i="14"/>
  <c r="F16" i="42" s="1"/>
  <c r="Q220" i="14"/>
  <c r="F20" i="42" s="1"/>
  <c r="G20" i="42" s="1"/>
  <c r="Q84" i="14"/>
  <c r="AA170" i="15"/>
  <c r="Y170" i="15"/>
  <c r="AC170" i="15"/>
  <c r="AB170" i="15"/>
  <c r="Z170" i="15"/>
  <c r="Q135" i="14"/>
  <c r="AX234" i="15"/>
  <c r="AW234" i="15"/>
  <c r="AZ234" i="15"/>
  <c r="AV234" i="15"/>
  <c r="AY234" i="15"/>
  <c r="AU234" i="15"/>
  <c r="Q154" i="14"/>
  <c r="Q223" i="14"/>
  <c r="F23" i="42" s="1"/>
  <c r="Q167" i="14"/>
  <c r="Q120" i="14"/>
  <c r="Q85" i="14"/>
  <c r="AL470" i="34" s="1"/>
  <c r="Q231" i="14"/>
  <c r="Q68" i="14"/>
  <c r="AA149" i="15"/>
  <c r="Z149" i="15"/>
  <c r="AC149" i="15"/>
  <c r="Y149" i="15"/>
  <c r="AB149" i="15"/>
  <c r="X149" i="15"/>
  <c r="Q107" i="14"/>
  <c r="Q66" i="14"/>
  <c r="AC140" i="15"/>
  <c r="Y140" i="15"/>
  <c r="AB140" i="15"/>
  <c r="X140" i="15"/>
  <c r="AA140" i="15"/>
  <c r="Z140" i="15"/>
  <c r="Q105" i="14"/>
  <c r="Q58" i="14"/>
  <c r="AC126" i="15"/>
  <c r="Y126" i="15"/>
  <c r="AB126" i="15"/>
  <c r="X126" i="15"/>
  <c r="AA126" i="15"/>
  <c r="Z126" i="15"/>
  <c r="Q155" i="14"/>
  <c r="Q159" i="14"/>
  <c r="Q142" i="14"/>
  <c r="AC246" i="15"/>
  <c r="AB246" i="15"/>
  <c r="X246" i="15"/>
  <c r="AA246" i="15"/>
  <c r="Z246" i="15"/>
  <c r="Q143" i="14"/>
  <c r="AL511" i="34" s="1"/>
  <c r="AA247" i="15"/>
  <c r="Z247" i="15"/>
  <c r="AC247" i="15"/>
  <c r="Y247" i="15"/>
  <c r="X247" i="15"/>
  <c r="Q91" i="14"/>
  <c r="AL479" i="34" s="1"/>
  <c r="Q56" i="14"/>
  <c r="AA124" i="15"/>
  <c r="Z124" i="15"/>
  <c r="AC124" i="15"/>
  <c r="Y124" i="15"/>
  <c r="AB124" i="15"/>
  <c r="X124" i="15"/>
  <c r="Q176" i="14"/>
  <c r="Q188" i="14"/>
  <c r="Q122" i="14"/>
  <c r="Q60" i="14"/>
  <c r="AA134" i="15"/>
  <c r="Z134" i="15"/>
  <c r="AC134" i="15"/>
  <c r="Y134" i="15"/>
  <c r="AB134" i="15"/>
  <c r="X134" i="15"/>
  <c r="Q157" i="14"/>
  <c r="Q145" i="14"/>
  <c r="AL513" i="34" s="1"/>
  <c r="AA249" i="15"/>
  <c r="Z249" i="15"/>
  <c r="AC249" i="15"/>
  <c r="Y249" i="15"/>
  <c r="AB249" i="15"/>
  <c r="X249" i="15"/>
  <c r="Q96" i="14"/>
  <c r="AC182" i="15"/>
  <c r="Y182" i="15"/>
  <c r="X182" i="15"/>
  <c r="AB182" i="15"/>
  <c r="AA182" i="15"/>
  <c r="Z182" i="15"/>
  <c r="Q181" i="14"/>
  <c r="Q131" i="14"/>
  <c r="AC220" i="15"/>
  <c r="AB220" i="15"/>
  <c r="AA220" i="15"/>
  <c r="Z220" i="15"/>
  <c r="Q156" i="14"/>
  <c r="Q229" i="14"/>
  <c r="F30" i="42" s="1"/>
  <c r="G30" i="42" s="1"/>
  <c r="Q110" i="14"/>
  <c r="Q190" i="14"/>
  <c r="Q128" i="14"/>
  <c r="AL500" i="34" s="1"/>
  <c r="AA217" i="15"/>
  <c r="Z217" i="15"/>
  <c r="AC217" i="15"/>
  <c r="Y217" i="15"/>
  <c r="AB217" i="15"/>
  <c r="X217" i="15"/>
  <c r="Q136" i="14"/>
  <c r="AZ235" i="15"/>
  <c r="AV235" i="15"/>
  <c r="AY235" i="15"/>
  <c r="AX235" i="15"/>
  <c r="Q169" i="14"/>
  <c r="Q162" i="14"/>
  <c r="Q219" i="14"/>
  <c r="F18" i="42" s="1"/>
  <c r="G18" i="42" s="1"/>
  <c r="H19" i="42" s="1"/>
  <c r="Q99" i="14"/>
  <c r="AC185" i="15"/>
  <c r="Y185" i="15"/>
  <c r="AB185" i="15"/>
  <c r="AA185" i="15"/>
  <c r="Z185" i="15"/>
  <c r="Q73" i="14"/>
  <c r="Q187" i="14"/>
  <c r="Q225" i="14"/>
  <c r="F26" i="42" s="1"/>
  <c r="Q182" i="14"/>
  <c r="Q177" i="14"/>
  <c r="Q121" i="14"/>
  <c r="AA207" i="15"/>
  <c r="Z207" i="15"/>
  <c r="X207" i="15"/>
  <c r="AC207" i="15"/>
  <c r="AB207" i="15"/>
  <c r="Y207" i="15"/>
  <c r="Q104" i="14"/>
  <c r="AA190" i="15"/>
  <c r="Z190" i="15"/>
  <c r="AB190" i="15"/>
  <c r="Y190" i="15"/>
  <c r="X190" i="15"/>
  <c r="AC190" i="15"/>
  <c r="Q88" i="14"/>
  <c r="AL473" i="34" s="1"/>
  <c r="Q163" i="14"/>
  <c r="Q232" i="14"/>
  <c r="F34" i="42" s="1"/>
  <c r="G34" i="42" s="1"/>
  <c r="Q111" i="14"/>
  <c r="AC197" i="15"/>
  <c r="Y197" i="15"/>
  <c r="AB197" i="15"/>
  <c r="X197" i="15"/>
  <c r="Z197" i="15"/>
  <c r="AA197" i="15"/>
  <c r="Q100" i="14"/>
  <c r="AX186" i="15"/>
  <c r="BG187" i="15" s="1"/>
  <c r="AY186" i="15"/>
  <c r="BH187" i="15" s="1"/>
  <c r="AW186" i="15"/>
  <c r="BF187" i="15" s="1"/>
  <c r="AV186" i="15"/>
  <c r="BE187" i="15" s="1"/>
  <c r="AZ186" i="15"/>
  <c r="BI187" i="15" s="1"/>
  <c r="Q87" i="14"/>
  <c r="Q127" i="14"/>
  <c r="Q89" i="14"/>
  <c r="AL474" i="34" s="1"/>
  <c r="Q109" i="14"/>
  <c r="Q140" i="14"/>
  <c r="AZ244" i="15"/>
  <c r="AV244" i="15"/>
  <c r="AY244" i="15"/>
  <c r="AX244" i="15"/>
  <c r="AW244" i="15"/>
  <c r="Q217" i="14"/>
  <c r="F15" i="42" s="1"/>
  <c r="Q161" i="14"/>
  <c r="Q62" i="14"/>
  <c r="AL490" i="34" s="1"/>
  <c r="AA136" i="15"/>
  <c r="Z136" i="15"/>
  <c r="AC136" i="15"/>
  <c r="Y136" i="15"/>
  <c r="AB136" i="15"/>
  <c r="X136" i="15"/>
  <c r="Q106" i="14"/>
  <c r="AL487" i="34" s="1"/>
  <c r="Q108" i="14"/>
  <c r="AL492" i="34" s="1"/>
  <c r="BI194" i="15"/>
  <c r="BH194" i="15"/>
  <c r="BJ194" i="15"/>
  <c r="BG194" i="15"/>
  <c r="BF194" i="15"/>
  <c r="BK194" i="15"/>
  <c r="Q92" i="14"/>
  <c r="AZ178" i="15"/>
  <c r="AV178" i="15"/>
  <c r="AX178" i="15"/>
  <c r="AW178" i="15"/>
  <c r="AY178" i="15"/>
  <c r="Q194" i="14"/>
  <c r="Q191" i="14"/>
  <c r="Q233" i="14"/>
  <c r="F35" i="42" s="1"/>
  <c r="G35" i="42" s="1"/>
  <c r="Q165" i="14"/>
  <c r="Q183" i="14"/>
  <c r="Q166" i="14"/>
  <c r="Q222" i="14"/>
  <c r="F22" i="42" s="1"/>
  <c r="G22" i="42" s="1"/>
  <c r="Q224" i="14"/>
  <c r="F24" i="42" s="1"/>
  <c r="G24" i="42" s="1"/>
  <c r="Q90" i="14"/>
  <c r="AL475" i="34" s="1"/>
  <c r="Q227" i="14"/>
  <c r="F28" i="42" s="1"/>
  <c r="G28" i="42" s="1"/>
  <c r="R20" i="39" l="1"/>
  <c r="B43" i="45" s="1"/>
  <c r="R26" i="39"/>
  <c r="B51" i="45" s="1"/>
  <c r="B12" i="45"/>
  <c r="R24" i="39"/>
  <c r="B55" i="45" s="1"/>
  <c r="R22" i="39"/>
  <c r="B53" i="45" s="1"/>
  <c r="Q24" i="39"/>
  <c r="B31" i="45" s="1"/>
  <c r="Q23" i="39"/>
  <c r="B30" i="45" s="1"/>
  <c r="R25" i="39"/>
  <c r="B56" i="45" s="1"/>
  <c r="Q21" i="39"/>
  <c r="B28" i="45" s="1"/>
  <c r="R21" i="39"/>
  <c r="B52" i="45" s="1"/>
  <c r="R23" i="39"/>
  <c r="B54" i="45" s="1"/>
  <c r="Q22" i="39"/>
  <c r="B29" i="45" s="1"/>
  <c r="Q25" i="39"/>
  <c r="B32" i="45" s="1"/>
  <c r="R31" i="39"/>
  <c r="B61" i="45" s="1"/>
  <c r="Q29" i="39"/>
  <c r="B35" i="45" s="1"/>
  <c r="Q31" i="39"/>
  <c r="B37" i="45" s="1"/>
  <c r="R29" i="39"/>
  <c r="B59" i="45" s="1"/>
  <c r="Q28" i="39"/>
  <c r="B34" i="45" s="1"/>
  <c r="R30" i="39"/>
  <c r="B60" i="45" s="1"/>
  <c r="R28" i="39"/>
  <c r="B58" i="45" s="1"/>
  <c r="Q30" i="39"/>
  <c r="B36" i="45" s="1"/>
  <c r="Q35" i="31"/>
  <c r="B258" i="45" s="1"/>
  <c r="O21" i="31"/>
  <c r="Q15" i="39"/>
  <c r="B22" i="45" s="1"/>
  <c r="Q17" i="39"/>
  <c r="B24" i="45" s="1"/>
  <c r="R14" i="39"/>
  <c r="B45" i="45" s="1"/>
  <c r="Q18" i="39"/>
  <c r="B25" i="45" s="1"/>
  <c r="Q16" i="39"/>
  <c r="B23" i="45" s="1"/>
  <c r="Q19" i="39"/>
  <c r="B26" i="45" s="1"/>
  <c r="R15" i="39"/>
  <c r="B46" i="45" s="1"/>
  <c r="Q13" i="39"/>
  <c r="B20" i="45" s="1"/>
  <c r="R19" i="39"/>
  <c r="B50" i="45" s="1"/>
  <c r="R18" i="39"/>
  <c r="B49" i="45" s="1"/>
  <c r="R13" i="39"/>
  <c r="B44" i="45" s="1"/>
  <c r="Q20" i="39"/>
  <c r="B19" i="45" s="1"/>
  <c r="R16" i="39"/>
  <c r="B47" i="45" s="1"/>
  <c r="R17" i="39"/>
  <c r="B48" i="45" s="1"/>
  <c r="E468" i="34"/>
  <c r="AL493" i="34"/>
  <c r="AL486" i="34"/>
  <c r="T36" i="44"/>
  <c r="R36" i="44"/>
  <c r="Q38" i="44" s="1"/>
  <c r="S36" i="44"/>
  <c r="B100" i="45" s="1"/>
  <c r="U36" i="44"/>
  <c r="K35" i="31"/>
  <c r="H35" i="31" s="1"/>
  <c r="H37" i="31" s="1"/>
  <c r="R35" i="31"/>
  <c r="B280" i="45" s="1"/>
  <c r="O26" i="31"/>
  <c r="O17" i="31"/>
  <c r="AL502" i="34"/>
  <c r="AL480" i="34"/>
  <c r="AL499" i="34"/>
  <c r="AL505" i="34"/>
  <c r="AL40" i="24"/>
  <c r="H8" i="42" s="1"/>
  <c r="H545" i="34" s="1"/>
  <c r="AI40" i="24"/>
  <c r="G17" i="41"/>
  <c r="G33" i="41"/>
  <c r="G16" i="41"/>
  <c r="G23" i="41"/>
  <c r="G34" i="41"/>
  <c r="E219" i="34"/>
  <c r="D51" i="41"/>
  <c r="G51" i="41" s="1"/>
  <c r="AL508" i="34"/>
  <c r="G15" i="42"/>
  <c r="H17" i="42" s="1"/>
  <c r="G26" i="42"/>
  <c r="AL496" i="34"/>
  <c r="F32" i="42"/>
  <c r="G32" i="42" s="1"/>
  <c r="AH537" i="24"/>
  <c r="AH147" i="24"/>
  <c r="I58" i="20"/>
  <c r="AL497" i="34"/>
  <c r="AB669" i="24"/>
  <c r="AF669" i="24" s="1"/>
  <c r="AV40" i="24" s="1"/>
  <c r="M12" i="43"/>
  <c r="N12" i="43" s="1"/>
  <c r="H21" i="42"/>
  <c r="AO404" i="24"/>
  <c r="AO405" i="24" s="1"/>
  <c r="AO17" i="24" s="1"/>
  <c r="AK404" i="24"/>
  <c r="AK405" i="24" s="1"/>
  <c r="AN404" i="24"/>
  <c r="AN405" i="24" s="1"/>
  <c r="AN17" i="24" s="1"/>
  <c r="AJ404" i="24"/>
  <c r="AJ405" i="24" s="1"/>
  <c r="AM404" i="24"/>
  <c r="AM405" i="24" s="1"/>
  <c r="AL404" i="24"/>
  <c r="AL405" i="24" s="1"/>
  <c r="AL472" i="34"/>
  <c r="AN470" i="34" s="1" a="1"/>
  <c r="AG60" i="24"/>
  <c r="AG147" i="24"/>
  <c r="H150" i="24"/>
  <c r="O11" i="43"/>
  <c r="L11" i="43"/>
  <c r="AL503" i="34"/>
  <c r="AL491" i="34"/>
  <c r="AL485" i="34"/>
  <c r="AL510" i="34"/>
  <c r="AN15" i="24"/>
  <c r="L13" i="43" s="1"/>
  <c r="AN28" i="24"/>
  <c r="AJ28" i="24"/>
  <c r="AO15" i="24"/>
  <c r="O13" i="43" s="1"/>
  <c r="AO28" i="24"/>
  <c r="AK28" i="24"/>
  <c r="H73" i="24"/>
  <c r="H53" i="24"/>
  <c r="AG51" i="24"/>
  <c r="H130" i="24"/>
  <c r="D130" i="24" s="1"/>
  <c r="H226" i="24"/>
  <c r="AG418" i="24"/>
  <c r="H421" i="24"/>
  <c r="H540" i="24"/>
  <c r="D540" i="24" s="1"/>
  <c r="Z669" i="24"/>
  <c r="AE669" i="24" s="1"/>
  <c r="AU40" i="24" s="1"/>
  <c r="AI58" i="20"/>
  <c r="J25" i="20"/>
  <c r="D614" i="34" s="1"/>
  <c r="AG58" i="20"/>
  <c r="E63" i="20"/>
  <c r="H63" i="20"/>
  <c r="AH54" i="20" s="1"/>
  <c r="AH148" i="24"/>
  <c r="AI420" i="24"/>
  <c r="AG420" i="24"/>
  <c r="D535" i="24"/>
  <c r="AH149" i="24"/>
  <c r="AG331" i="24"/>
  <c r="AG333" i="24" s="1"/>
  <c r="AK300" i="15"/>
  <c r="AP300" i="15"/>
  <c r="AR300" i="15"/>
  <c r="AI300" i="15"/>
  <c r="AO300" i="15"/>
  <c r="AJ300" i="15"/>
  <c r="AL300" i="15"/>
  <c r="F275" i="34"/>
  <c r="AN300" i="15"/>
  <c r="AH300" i="15"/>
  <c r="AM300" i="15"/>
  <c r="AG59" i="24"/>
  <c r="K520" i="24"/>
  <c r="W520" i="24" s="1"/>
  <c r="U555" i="24"/>
  <c r="U559" i="24" s="1"/>
  <c r="AA559" i="24" s="1"/>
  <c r="AB568" i="24" s="1"/>
  <c r="AF568" i="24" s="1"/>
  <c r="AV36" i="24" s="1"/>
  <c r="V112" i="15"/>
  <c r="F84" i="34" s="1"/>
  <c r="W660" i="24"/>
  <c r="X664" i="24" s="1"/>
  <c r="BD112" i="15"/>
  <c r="X112" i="15"/>
  <c r="N664" i="24"/>
  <c r="T106" i="16"/>
  <c r="AG419" i="24"/>
  <c r="AH415" i="24"/>
  <c r="AM422" i="15"/>
  <c r="H333" i="24"/>
  <c r="AH51" i="24"/>
  <c r="AK322" i="15"/>
  <c r="R544" i="24"/>
  <c r="Y544" i="24" s="1"/>
  <c r="AI415" i="24"/>
  <c r="AG347" i="24"/>
  <c r="H544" i="24"/>
  <c r="H664" i="24"/>
  <c r="K525" i="24"/>
  <c r="W525" i="24" s="1"/>
  <c r="U191" i="24"/>
  <c r="AI191" i="24" s="1"/>
  <c r="D111" i="24"/>
  <c r="AG109" i="24"/>
  <c r="AG307" i="24"/>
  <c r="AG309" i="24" s="1"/>
  <c r="AJ309" i="24"/>
  <c r="AK309" i="24"/>
  <c r="AM214" i="24"/>
  <c r="AH212" i="24"/>
  <c r="AH214" i="24" s="1"/>
  <c r="AL214" i="24"/>
  <c r="AL118" i="24"/>
  <c r="AM118" i="24"/>
  <c r="AH116" i="24"/>
  <c r="AH118" i="24" s="1"/>
  <c r="AG90" i="24"/>
  <c r="AG217" i="24"/>
  <c r="AG219" i="24" s="1"/>
  <c r="AJ219" i="24"/>
  <c r="AK219" i="24"/>
  <c r="AG193" i="24"/>
  <c r="AG195" i="24" s="1"/>
  <c r="AJ195" i="24"/>
  <c r="AK195" i="24"/>
  <c r="AG205" i="24"/>
  <c r="H207" i="24"/>
  <c r="D207" i="24" s="1"/>
  <c r="AG284" i="24"/>
  <c r="H286" i="24"/>
  <c r="D286" i="24" s="1"/>
  <c r="AM233" i="24"/>
  <c r="AH231" i="24"/>
  <c r="AH233" i="24" s="1"/>
  <c r="AL233" i="24"/>
  <c r="AG605" i="24"/>
  <c r="AG607" i="24" s="1"/>
  <c r="AJ607" i="24"/>
  <c r="AK607" i="24"/>
  <c r="H405" i="24"/>
  <c r="E405" i="24" s="1"/>
  <c r="AG395" i="24"/>
  <c r="H397" i="24"/>
  <c r="AH293" i="24"/>
  <c r="AH295" i="24" s="1"/>
  <c r="AM295" i="24"/>
  <c r="AL295" i="24"/>
  <c r="AN219" i="24"/>
  <c r="AI217" i="24"/>
  <c r="AI219" i="24" s="1"/>
  <c r="AO219" i="24"/>
  <c r="AL347" i="24"/>
  <c r="AM347" i="24"/>
  <c r="AH345" i="24"/>
  <c r="AH347" i="24" s="1"/>
  <c r="AM444" i="24"/>
  <c r="AH442" i="24"/>
  <c r="AH444" i="24" s="1"/>
  <c r="AL444" i="24"/>
  <c r="AG435" i="24"/>
  <c r="H437" i="24"/>
  <c r="AG357" i="24"/>
  <c r="H359" i="24"/>
  <c r="E359" i="24" s="1"/>
  <c r="AG565" i="24"/>
  <c r="AG567" i="24" s="1"/>
  <c r="H567" i="24"/>
  <c r="AK567" i="24"/>
  <c r="AJ567" i="24"/>
  <c r="AG625" i="24"/>
  <c r="AG627" i="24" s="1"/>
  <c r="AJ627" i="24"/>
  <c r="AK627" i="24"/>
  <c r="AG338" i="24"/>
  <c r="H340" i="24"/>
  <c r="AG128" i="24"/>
  <c r="AN410" i="24"/>
  <c r="AI408" i="24"/>
  <c r="AI410" i="24" s="1"/>
  <c r="AO410" i="24"/>
  <c r="AI542" i="24"/>
  <c r="AI544" i="24" s="1"/>
  <c r="AO544" i="24"/>
  <c r="AN544" i="24"/>
  <c r="AG573" i="24"/>
  <c r="H575" i="24"/>
  <c r="AG553" i="24"/>
  <c r="H555" i="24"/>
  <c r="AG585" i="24"/>
  <c r="AG587" i="24" s="1"/>
  <c r="AK587" i="24"/>
  <c r="AJ587" i="24"/>
  <c r="AG428" i="24"/>
  <c r="AG430" i="24" s="1"/>
  <c r="AJ430" i="24"/>
  <c r="AK430" i="24"/>
  <c r="AI331" i="24"/>
  <c r="AI333" i="24" s="1"/>
  <c r="AN333" i="24"/>
  <c r="AO333" i="24"/>
  <c r="AG78" i="24"/>
  <c r="AG80" i="24" s="1"/>
  <c r="H80" i="24"/>
  <c r="AJ80" i="24"/>
  <c r="AK80" i="24"/>
  <c r="AK520" i="24"/>
  <c r="AG520" i="24"/>
  <c r="AG518" i="24"/>
  <c r="H520" i="24"/>
  <c r="D520" i="24" s="1"/>
  <c r="AJ520" i="24"/>
  <c r="AM333" i="24"/>
  <c r="AH331" i="24"/>
  <c r="AH333" i="24" s="1"/>
  <c r="AL333" i="24"/>
  <c r="H324" i="24"/>
  <c r="E324" i="24" s="1"/>
  <c r="H210" i="24"/>
  <c r="E210" i="24" s="1"/>
  <c r="H229" i="24"/>
  <c r="E229" i="24" s="1"/>
  <c r="AK347" i="24"/>
  <c r="H343" i="24"/>
  <c r="AH307" i="24"/>
  <c r="AH309" i="24" s="1"/>
  <c r="AL309" i="24"/>
  <c r="AM309" i="24"/>
  <c r="AJ214" i="24"/>
  <c r="AG212" i="24"/>
  <c r="AG214" i="24" s="1"/>
  <c r="AK214" i="24"/>
  <c r="AH174" i="24"/>
  <c r="AH176" i="24" s="1"/>
  <c r="AL176" i="24"/>
  <c r="AM176" i="24"/>
  <c r="AG167" i="24"/>
  <c r="AH156" i="24"/>
  <c r="AL157" i="24"/>
  <c r="AM157" i="24"/>
  <c r="AH157" i="24"/>
  <c r="AH193" i="24"/>
  <c r="AH195" i="24" s="1"/>
  <c r="AM195" i="24"/>
  <c r="AL195" i="24"/>
  <c r="AI605" i="24"/>
  <c r="AI607" i="24" s="1"/>
  <c r="AN607" i="24"/>
  <c r="AO607" i="24"/>
  <c r="AI293" i="24"/>
  <c r="AI295" i="24" s="1"/>
  <c r="AO295" i="24"/>
  <c r="AN295" i="24"/>
  <c r="AG613" i="24"/>
  <c r="H615" i="24"/>
  <c r="AM219" i="24"/>
  <c r="AH217" i="24"/>
  <c r="AH219" i="24" s="1"/>
  <c r="AL219" i="24"/>
  <c r="AG461" i="24"/>
  <c r="AG463" i="24" s="1"/>
  <c r="AK463" i="24"/>
  <c r="AJ463" i="24"/>
  <c r="H463" i="24"/>
  <c r="E463" i="24" s="1"/>
  <c r="AG376" i="24"/>
  <c r="H378" i="24"/>
  <c r="AG447" i="24"/>
  <c r="AG449" i="24" s="1"/>
  <c r="AJ449" i="24"/>
  <c r="AK449" i="24"/>
  <c r="AH625" i="24"/>
  <c r="AH627" i="24" s="1"/>
  <c r="AM627" i="24"/>
  <c r="AL627" i="24"/>
  <c r="AG186" i="24"/>
  <c r="AG71" i="24"/>
  <c r="AM525" i="24"/>
  <c r="AH523" i="24"/>
  <c r="AH525" i="24" s="1"/>
  <c r="AL525" i="24"/>
  <c r="AH466" i="24"/>
  <c r="AH468" i="24" s="1"/>
  <c r="AM468" i="24"/>
  <c r="AL468" i="24"/>
  <c r="AG408" i="24"/>
  <c r="AG410" i="24" s="1"/>
  <c r="H410" i="24"/>
  <c r="AK410" i="24"/>
  <c r="AJ410" i="24"/>
  <c r="R60" i="24"/>
  <c r="Y60" i="24" s="1"/>
  <c r="AH59" i="24"/>
  <c r="AG466" i="24"/>
  <c r="AG468" i="24" s="1"/>
  <c r="AJ468" i="24"/>
  <c r="AK468" i="24"/>
  <c r="AG252" i="24"/>
  <c r="AJ252" i="24"/>
  <c r="AK252" i="24"/>
  <c r="AM271" i="24"/>
  <c r="AH269" i="24"/>
  <c r="AH271" i="24" s="1"/>
  <c r="AL271" i="24"/>
  <c r="H607" i="24"/>
  <c r="H305" i="24"/>
  <c r="D305" i="24" s="1"/>
  <c r="H191" i="24"/>
  <c r="E191" i="24" s="1"/>
  <c r="H530" i="24"/>
  <c r="AI530" i="24" s="1"/>
  <c r="H252" i="24"/>
  <c r="E252" i="24" s="1"/>
  <c r="AK321" i="24"/>
  <c r="AJ321" i="24"/>
  <c r="AK333" i="24"/>
  <c r="AJ333" i="24"/>
  <c r="H137" i="24"/>
  <c r="E137" i="24" s="1"/>
  <c r="AG135" i="24"/>
  <c r="AG137" i="24" s="1"/>
  <c r="AK137" i="24"/>
  <c r="AJ137" i="24"/>
  <c r="AH78" i="24"/>
  <c r="AH80" i="24" s="1"/>
  <c r="AM80" i="24"/>
  <c r="AL80" i="24"/>
  <c r="AG97" i="24"/>
  <c r="AG99" i="24" s="1"/>
  <c r="AK99" i="24"/>
  <c r="AJ99" i="24"/>
  <c r="AH326" i="24"/>
  <c r="AH328" i="24" s="1"/>
  <c r="AM328" i="24"/>
  <c r="AL328" i="24"/>
  <c r="AG300" i="24"/>
  <c r="H302" i="24"/>
  <c r="D302" i="24" s="1"/>
  <c r="AK176" i="24"/>
  <c r="AJ176" i="24"/>
  <c r="H176" i="24"/>
  <c r="E176" i="24" s="1"/>
  <c r="AG174" i="24"/>
  <c r="AG176" i="24" s="1"/>
  <c r="AK290" i="24"/>
  <c r="AG288" i="24"/>
  <c r="AG290" i="24" s="1"/>
  <c r="H290" i="24"/>
  <c r="D290" i="24" s="1"/>
  <c r="AJ290" i="24"/>
  <c r="AG156" i="24"/>
  <c r="AG157" i="24"/>
  <c r="H157" i="24"/>
  <c r="AK157" i="24"/>
  <c r="AM607" i="24"/>
  <c r="AH605" i="24"/>
  <c r="AH607" i="24" s="1"/>
  <c r="AL607" i="24"/>
  <c r="AK425" i="24"/>
  <c r="AJ425" i="24"/>
  <c r="AG423" i="24"/>
  <c r="AG425" i="24"/>
  <c r="AG262" i="24"/>
  <c r="H264" i="24"/>
  <c r="AJ366" i="24"/>
  <c r="AK366" i="24"/>
  <c r="AG364" i="24"/>
  <c r="AG366" i="24" s="1"/>
  <c r="AG473" i="24"/>
  <c r="H475" i="24"/>
  <c r="D475" i="24" s="1"/>
  <c r="AG480" i="24"/>
  <c r="AG482" i="24" s="1"/>
  <c r="AK482" i="24"/>
  <c r="AJ482" i="24"/>
  <c r="AM463" i="24"/>
  <c r="AH461" i="24"/>
  <c r="AH463" i="24" s="1"/>
  <c r="AL463" i="24"/>
  <c r="AG499" i="24"/>
  <c r="AG501" i="24" s="1"/>
  <c r="AK501" i="24"/>
  <c r="AJ501" i="24"/>
  <c r="AI565" i="24"/>
  <c r="AI567" i="24" s="1"/>
  <c r="AN567" i="24"/>
  <c r="AO567" i="24"/>
  <c r="AI447" i="24"/>
  <c r="AI449" i="24" s="1"/>
  <c r="AN449" i="24"/>
  <c r="AO449" i="24"/>
  <c r="AI625" i="24"/>
  <c r="AI627" i="24" s="1"/>
  <c r="AO627" i="24"/>
  <c r="AN627" i="24"/>
  <c r="AJ385" i="24"/>
  <c r="AG383" i="24"/>
  <c r="AG385" i="24" s="1"/>
  <c r="AK385" i="24"/>
  <c r="AK532" i="24"/>
  <c r="AJ532" i="24"/>
  <c r="AM532" i="24"/>
  <c r="AL532" i="24"/>
  <c r="AK60" i="24"/>
  <c r="H60" i="24"/>
  <c r="AJ60" i="24"/>
  <c r="AG58" i="24"/>
  <c r="AH252" i="24"/>
  <c r="AL252" i="24"/>
  <c r="AM252" i="24"/>
  <c r="AK271" i="24"/>
  <c r="AJ271" i="24"/>
  <c r="AG269" i="24"/>
  <c r="AG271" i="24" s="1"/>
  <c r="AJ544" i="24"/>
  <c r="AG542" i="24"/>
  <c r="AG544" i="24" s="1"/>
  <c r="AK544" i="24"/>
  <c r="AG281" i="24"/>
  <c r="H283" i="24"/>
  <c r="E283" i="24" s="1"/>
  <c r="AI523" i="24"/>
  <c r="AI525" i="24" s="1"/>
  <c r="AN525" i="24"/>
  <c r="AO525" i="24"/>
  <c r="R188" i="24"/>
  <c r="AG523" i="24"/>
  <c r="AG525" i="24" s="1"/>
  <c r="AJ525" i="24"/>
  <c r="AK525" i="24"/>
  <c r="AG537" i="24"/>
  <c r="AH542" i="24"/>
  <c r="AH544" i="24" s="1"/>
  <c r="AM544" i="24"/>
  <c r="AL544" i="24"/>
  <c r="AI428" i="24"/>
  <c r="AI430" i="24" s="1"/>
  <c r="AO430" i="24"/>
  <c r="AN430" i="24"/>
  <c r="AG593" i="24"/>
  <c r="H595" i="24"/>
  <c r="D595" i="24" s="1"/>
  <c r="H449" i="24"/>
  <c r="H385" i="24"/>
  <c r="H531" i="24"/>
  <c r="H309" i="24"/>
  <c r="E309" i="24" s="1"/>
  <c r="AM385" i="24"/>
  <c r="H478" i="24"/>
  <c r="H99" i="24"/>
  <c r="E99" i="24" s="1"/>
  <c r="AL385" i="24"/>
  <c r="Z664" i="24"/>
  <c r="AM664" i="24"/>
  <c r="AM669" i="24" s="1"/>
  <c r="AH664" i="24"/>
  <c r="AH669" i="24" s="1"/>
  <c r="AL664" i="24"/>
  <c r="AL669" i="24" s="1"/>
  <c r="H627" i="24"/>
  <c r="H347" i="24"/>
  <c r="D347" i="24" s="1"/>
  <c r="AM137" i="24"/>
  <c r="AL137" i="24"/>
  <c r="AH135" i="24"/>
  <c r="AH137" i="24"/>
  <c r="AH99" i="24"/>
  <c r="AM99" i="24"/>
  <c r="AL99" i="24"/>
  <c r="AH97" i="24"/>
  <c r="AK328" i="24"/>
  <c r="AJ328" i="24"/>
  <c r="AG326" i="24"/>
  <c r="AG328" i="24" s="1"/>
  <c r="AG116" i="24"/>
  <c r="AG118" i="24" s="1"/>
  <c r="AK118" i="24"/>
  <c r="AJ118" i="24"/>
  <c r="AH288" i="24"/>
  <c r="AH290" i="24" s="1"/>
  <c r="AL290" i="24"/>
  <c r="AM290" i="24"/>
  <c r="AG293" i="24"/>
  <c r="AG295" i="24" s="1"/>
  <c r="H295" i="24"/>
  <c r="AK295" i="24"/>
  <c r="AJ295" i="24"/>
  <c r="AG243" i="24"/>
  <c r="H245" i="24"/>
  <c r="AG319" i="24"/>
  <c r="H321" i="24"/>
  <c r="AJ233" i="24"/>
  <c r="AG231" i="24"/>
  <c r="AG233" i="24" s="1"/>
  <c r="AK233" i="24"/>
  <c r="AM425" i="24"/>
  <c r="AL425" i="24"/>
  <c r="AH423" i="24"/>
  <c r="AH425" i="24" s="1"/>
  <c r="AL366" i="24"/>
  <c r="AH364" i="24"/>
  <c r="AH366" i="24" s="1"/>
  <c r="AM366" i="24"/>
  <c r="AG454" i="24"/>
  <c r="H456" i="24"/>
  <c r="AM482" i="24"/>
  <c r="AH482" i="24"/>
  <c r="AH480" i="24"/>
  <c r="AL482" i="24"/>
  <c r="AM501" i="24"/>
  <c r="AH499" i="24"/>
  <c r="AH501" i="24" s="1"/>
  <c r="AL501" i="24"/>
  <c r="AG442" i="24"/>
  <c r="AG444" i="24" s="1"/>
  <c r="AK444" i="24"/>
  <c r="AJ444" i="24"/>
  <c r="AM567" i="24"/>
  <c r="AH565" i="24"/>
  <c r="AH567" i="24" s="1"/>
  <c r="AL567" i="24"/>
  <c r="AH447" i="24"/>
  <c r="AH449" i="24" s="1"/>
  <c r="AM449" i="24"/>
  <c r="AL449" i="24"/>
  <c r="AG492" i="24"/>
  <c r="H494" i="24"/>
  <c r="AG538" i="24"/>
  <c r="AH518" i="24"/>
  <c r="AH520" i="24" s="1"/>
  <c r="AM520" i="24"/>
  <c r="AL520" i="24"/>
  <c r="AM587" i="24"/>
  <c r="AH585" i="24"/>
  <c r="AH587" i="24" s="1"/>
  <c r="AL587" i="24"/>
  <c r="AI466" i="24"/>
  <c r="AI468" i="24" s="1"/>
  <c r="AO468" i="24"/>
  <c r="AN468" i="24"/>
  <c r="AH428" i="24"/>
  <c r="AH430" i="24" s="1"/>
  <c r="AM430" i="24"/>
  <c r="AL430" i="24"/>
  <c r="AM60" i="24"/>
  <c r="AL60" i="24"/>
  <c r="AH58" i="24"/>
  <c r="AH60" i="24" s="1"/>
  <c r="AG511" i="24"/>
  <c r="H513" i="24"/>
  <c r="AH408" i="24"/>
  <c r="AH410" i="24" s="1"/>
  <c r="AM410" i="24"/>
  <c r="AL410" i="24"/>
  <c r="K267" i="24"/>
  <c r="AG265" i="24"/>
  <c r="AI419" i="24"/>
  <c r="AI585" i="24"/>
  <c r="AI587" i="24" s="1"/>
  <c r="AO587" i="24"/>
  <c r="AN587" i="24"/>
  <c r="H271" i="24"/>
  <c r="D271" i="24" s="1"/>
  <c r="H195" i="24"/>
  <c r="E195" i="24" s="1"/>
  <c r="H444" i="24"/>
  <c r="E444" i="24" s="1"/>
  <c r="O664" i="24"/>
  <c r="H587" i="24"/>
  <c r="H219" i="24"/>
  <c r="AJ347" i="24"/>
  <c r="AI669" i="24"/>
  <c r="AO669" i="24"/>
  <c r="AN669" i="24"/>
  <c r="H328" i="24"/>
  <c r="D328" i="24" s="1"/>
  <c r="H214" i="24"/>
  <c r="E214" i="24" s="1"/>
  <c r="H468" i="24"/>
  <c r="H366" i="24"/>
  <c r="E366" i="24" s="1"/>
  <c r="H114" i="24"/>
  <c r="K595" i="24"/>
  <c r="K599" i="24" s="1"/>
  <c r="U430" i="24"/>
  <c r="AA430" i="24" s="1"/>
  <c r="R333" i="24"/>
  <c r="Y333" i="24" s="1"/>
  <c r="R410" i="24"/>
  <c r="Y410" i="24" s="1"/>
  <c r="H417" i="24"/>
  <c r="K468" i="24"/>
  <c r="W468" i="24" s="1"/>
  <c r="R575" i="24"/>
  <c r="H425" i="24"/>
  <c r="D425" i="24" s="1"/>
  <c r="H430" i="24"/>
  <c r="K53" i="24"/>
  <c r="E501" i="24"/>
  <c r="K111" i="24"/>
  <c r="R226" i="24"/>
  <c r="R305" i="24"/>
  <c r="AH305" i="24" s="1"/>
  <c r="R214" i="24"/>
  <c r="Y214" i="24" s="1"/>
  <c r="R118" i="24"/>
  <c r="Y118" i="24" s="1"/>
  <c r="U169" i="24"/>
  <c r="K92" i="24"/>
  <c r="K96" i="24" s="1"/>
  <c r="U229" i="24"/>
  <c r="AI229" i="24" s="1"/>
  <c r="K219" i="24"/>
  <c r="W219" i="24" s="1"/>
  <c r="K195" i="24"/>
  <c r="W195" i="24" s="1"/>
  <c r="R324" i="24"/>
  <c r="AH324" i="24" s="1"/>
  <c r="R245" i="24"/>
  <c r="K207" i="24"/>
  <c r="R321" i="24"/>
  <c r="K286" i="24"/>
  <c r="R233" i="24"/>
  <c r="Y233" i="24" s="1"/>
  <c r="K607" i="24"/>
  <c r="W607" i="24" s="1"/>
  <c r="K478" i="24"/>
  <c r="AG478" i="24" s="1"/>
  <c r="R425" i="24"/>
  <c r="Y425" i="24" s="1"/>
  <c r="U397" i="24"/>
  <c r="U264" i="24"/>
  <c r="U615" i="24"/>
  <c r="R366" i="24"/>
  <c r="Y366" i="24" s="1"/>
  <c r="R482" i="24"/>
  <c r="Y482" i="24" s="1"/>
  <c r="R417" i="24"/>
  <c r="R501" i="24"/>
  <c r="Y501" i="24" s="1"/>
  <c r="U378" i="24"/>
  <c r="U359" i="24"/>
  <c r="R449" i="24"/>
  <c r="Y449" i="24" s="1"/>
  <c r="R385" i="24"/>
  <c r="Y385" i="24" s="1"/>
  <c r="R271" i="24"/>
  <c r="Y271" i="24" s="1"/>
  <c r="R191" i="24"/>
  <c r="U410" i="24"/>
  <c r="AA410" i="24" s="1"/>
  <c r="AI411" i="24" s="1"/>
  <c r="R587" i="24"/>
  <c r="Y587" i="24" s="1"/>
  <c r="U468" i="24"/>
  <c r="AA468" i="24" s="1"/>
  <c r="R595" i="24"/>
  <c r="U53" i="24"/>
  <c r="AI53" i="24" s="1"/>
  <c r="R525" i="24"/>
  <c r="Y525" i="24" s="1"/>
  <c r="K191" i="24"/>
  <c r="AG191" i="24" s="1"/>
  <c r="R468" i="24"/>
  <c r="Y468" i="24" s="1"/>
  <c r="K430" i="24"/>
  <c r="W430" i="24" s="1"/>
  <c r="U333" i="24"/>
  <c r="AA333" i="24" s="1"/>
  <c r="R111" i="24"/>
  <c r="K214" i="24"/>
  <c r="W214" i="24" s="1"/>
  <c r="R176" i="24"/>
  <c r="Y176" i="24" s="1"/>
  <c r="K169" i="24"/>
  <c r="K173" i="24" s="1"/>
  <c r="R92" i="24"/>
  <c r="U245" i="24"/>
  <c r="R207" i="24"/>
  <c r="R286" i="24"/>
  <c r="AH286" i="24" s="1"/>
  <c r="K114" i="24"/>
  <c r="AG114" i="24" s="1"/>
  <c r="U607" i="24"/>
  <c r="AA607" i="24" s="1"/>
  <c r="R478" i="24"/>
  <c r="AH478" i="24" s="1"/>
  <c r="K397" i="24"/>
  <c r="K401" i="24" s="1"/>
  <c r="R295" i="24"/>
  <c r="Y295" i="24" s="1"/>
  <c r="R264" i="24"/>
  <c r="U219" i="24"/>
  <c r="AA219" i="24" s="1"/>
  <c r="R475" i="24"/>
  <c r="R347" i="24"/>
  <c r="Y347" i="24" s="1"/>
  <c r="U417" i="24"/>
  <c r="R343" i="24"/>
  <c r="AH343" i="24" s="1"/>
  <c r="K437" i="24"/>
  <c r="K441" i="24" s="1"/>
  <c r="K359" i="24"/>
  <c r="K363" i="24" s="1"/>
  <c r="K627" i="24"/>
  <c r="W627" i="24" s="1"/>
  <c r="K188" i="24"/>
  <c r="U267" i="24"/>
  <c r="U525" i="24"/>
  <c r="AA525" i="24" s="1"/>
  <c r="U188" i="24"/>
  <c r="AI188" i="24" s="1"/>
  <c r="R555" i="24"/>
  <c r="U130" i="24"/>
  <c r="K410" i="24"/>
  <c r="W410" i="24" s="1"/>
  <c r="U111" i="24"/>
  <c r="K137" i="24"/>
  <c r="W137" i="24" s="1"/>
  <c r="U305" i="24"/>
  <c r="AI305" i="24" s="1"/>
  <c r="R80" i="24"/>
  <c r="Y80" i="24" s="1"/>
  <c r="K99" i="24"/>
  <c r="W99" i="24" s="1"/>
  <c r="R328" i="24"/>
  <c r="Y328" i="24" s="1"/>
  <c r="R169" i="24"/>
  <c r="K229" i="24"/>
  <c r="AG229" i="24" s="1"/>
  <c r="U324" i="24"/>
  <c r="AI324" i="24" s="1"/>
  <c r="U321" i="24"/>
  <c r="U286" i="24"/>
  <c r="AI286" i="24" s="1"/>
  <c r="R114" i="24"/>
  <c r="AH114" i="24" s="1"/>
  <c r="R607" i="24"/>
  <c r="Y607" i="24" s="1"/>
  <c r="U478" i="24"/>
  <c r="AI478" i="24" s="1"/>
  <c r="U295" i="24"/>
  <c r="AA295" i="24" s="1"/>
  <c r="K615" i="24"/>
  <c r="K619" i="24" s="1"/>
  <c r="R219" i="24"/>
  <c r="Y219" i="24" s="1"/>
  <c r="U475" i="24"/>
  <c r="U479" i="24" s="1"/>
  <c r="AA479" i="24" s="1"/>
  <c r="AB488" i="24" s="1"/>
  <c r="AF488" i="24" s="1"/>
  <c r="AV32" i="24" s="1"/>
  <c r="K463" i="24"/>
  <c r="W463" i="24" s="1"/>
  <c r="K417" i="24"/>
  <c r="U343" i="24"/>
  <c r="AI343" i="24" s="1"/>
  <c r="K378" i="24"/>
  <c r="K382" i="24" s="1"/>
  <c r="R437" i="24"/>
  <c r="R359" i="24"/>
  <c r="K449" i="24"/>
  <c r="W449" i="24" s="1"/>
  <c r="R627" i="24"/>
  <c r="Y627" i="24" s="1"/>
  <c r="K513" i="24"/>
  <c r="K517" i="24" s="1"/>
  <c r="R252" i="24"/>
  <c r="Y252" i="24" s="1"/>
  <c r="R150" i="24"/>
  <c r="K271" i="24"/>
  <c r="W271" i="24" s="1"/>
  <c r="K333" i="24"/>
  <c r="W333" i="24" s="1"/>
  <c r="K73" i="24"/>
  <c r="U575" i="24"/>
  <c r="R53" i="24"/>
  <c r="R430" i="24"/>
  <c r="Y430" i="24" s="1"/>
  <c r="R137" i="24"/>
  <c r="Y137" i="24" s="1"/>
  <c r="K305" i="24"/>
  <c r="AG305" i="24" s="1"/>
  <c r="R99" i="24"/>
  <c r="Y99" i="24" s="1"/>
  <c r="K328" i="24"/>
  <c r="W328" i="24" s="1"/>
  <c r="K118" i="24"/>
  <c r="W118" i="24" s="1"/>
  <c r="U92" i="24"/>
  <c r="R229" i="24"/>
  <c r="AH229" i="24" s="1"/>
  <c r="K295" i="24"/>
  <c r="W295" i="24" s="1"/>
  <c r="K324" i="24"/>
  <c r="AG324" i="24" s="1"/>
  <c r="K245" i="24"/>
  <c r="U207" i="24"/>
  <c r="K321" i="24"/>
  <c r="K233" i="24"/>
  <c r="W233" i="24" s="1"/>
  <c r="U114" i="24"/>
  <c r="AI114" i="24" s="1"/>
  <c r="K425" i="24"/>
  <c r="W425" i="24" s="1"/>
  <c r="R397" i="24"/>
  <c r="R615" i="24"/>
  <c r="K366" i="24"/>
  <c r="W366" i="24" s="1"/>
  <c r="K475" i="24"/>
  <c r="K482" i="24"/>
  <c r="W482" i="24" s="1"/>
  <c r="R463" i="24"/>
  <c r="Y463" i="24" s="1"/>
  <c r="K501" i="24"/>
  <c r="W501" i="24" s="1"/>
  <c r="K343" i="24"/>
  <c r="AG343" i="24" s="1"/>
  <c r="R378" i="24"/>
  <c r="U437" i="24"/>
  <c r="U449" i="24"/>
  <c r="AA449" i="24" s="1"/>
  <c r="U627" i="24"/>
  <c r="AA627" i="24" s="1"/>
  <c r="K385" i="24"/>
  <c r="W385" i="24" s="1"/>
  <c r="K252" i="24"/>
  <c r="W252" i="24" s="1"/>
  <c r="R130" i="24"/>
  <c r="U544" i="24"/>
  <c r="AA544" i="24" s="1"/>
  <c r="K283" i="24"/>
  <c r="U283" i="24"/>
  <c r="K575" i="24"/>
  <c r="K555" i="24"/>
  <c r="R73" i="24"/>
  <c r="K587" i="24"/>
  <c r="W587" i="24" s="1"/>
  <c r="R267" i="24"/>
  <c r="AH267" i="24" s="1"/>
  <c r="T112" i="16"/>
  <c r="T107" i="16"/>
  <c r="T104" i="16"/>
  <c r="T113" i="16"/>
  <c r="T109" i="16"/>
  <c r="T111" i="16"/>
  <c r="T110" i="16"/>
  <c r="T114" i="16"/>
  <c r="AO50" i="14" a="1"/>
  <c r="AO50" i="14" s="1"/>
  <c r="Y278" i="15"/>
  <c r="Y211" i="15"/>
  <c r="AO422" i="15"/>
  <c r="AJ422" i="15"/>
  <c r="U595" i="24"/>
  <c r="K544" i="24"/>
  <c r="W544" i="24" s="1"/>
  <c r="U73" i="24"/>
  <c r="U513" i="24"/>
  <c r="AI513" i="24" s="1"/>
  <c r="AI517" i="24" s="1"/>
  <c r="R195" i="24"/>
  <c r="Y195" i="24" s="1"/>
  <c r="AA112" i="15"/>
  <c r="AN423" i="15"/>
  <c r="AQ217" i="15"/>
  <c r="K130" i="24"/>
  <c r="AI208" i="15"/>
  <c r="AQ140" i="15"/>
  <c r="F108" i="34"/>
  <c r="F365" i="34"/>
  <c r="AH407" i="15"/>
  <c r="AL407" i="15"/>
  <c r="AK407" i="15"/>
  <c r="R283" i="24"/>
  <c r="F147" i="34"/>
  <c r="Y269" i="15"/>
  <c r="X269" i="15"/>
  <c r="AC269" i="15"/>
  <c r="AI422" i="15"/>
  <c r="AK290" i="15"/>
  <c r="AR422" i="15"/>
  <c r="AP422" i="15"/>
  <c r="V269" i="15"/>
  <c r="AB269" i="15"/>
  <c r="AC211" i="15"/>
  <c r="AN422" i="15"/>
  <c r="AL422" i="15"/>
  <c r="Z269" i="15"/>
  <c r="AA269" i="15"/>
  <c r="AA211" i="15"/>
  <c r="AH422" i="15"/>
  <c r="AK422" i="15"/>
  <c r="AQ422" i="15"/>
  <c r="F250" i="34"/>
  <c r="AH272" i="15"/>
  <c r="R421" i="24"/>
  <c r="R513" i="24"/>
  <c r="K176" i="24"/>
  <c r="W176" i="24" s="1"/>
  <c r="K226" i="24"/>
  <c r="AR190" i="15"/>
  <c r="AO208" i="15"/>
  <c r="AO190" i="15"/>
  <c r="AJ208" i="15"/>
  <c r="K150" i="24"/>
  <c r="AM190" i="15"/>
  <c r="AL190" i="15"/>
  <c r="AR208" i="15"/>
  <c r="AH208" i="15"/>
  <c r="AP208" i="15"/>
  <c r="AK208" i="15"/>
  <c r="AP190" i="15"/>
  <c r="AK190" i="15"/>
  <c r="Y112" i="15"/>
  <c r="AP272" i="15"/>
  <c r="AL208" i="15"/>
  <c r="AN208" i="15"/>
  <c r="AN190" i="15"/>
  <c r="AQ190" i="15"/>
  <c r="AR272" i="15"/>
  <c r="AM140" i="15"/>
  <c r="K60" i="24"/>
  <c r="W60" i="24" s="1"/>
  <c r="U150" i="24"/>
  <c r="AN154" i="24" s="1"/>
  <c r="AK217" i="15"/>
  <c r="U421" i="24"/>
  <c r="AJ217" i="15"/>
  <c r="AK140" i="15"/>
  <c r="R405" i="24"/>
  <c r="BF113" i="15"/>
  <c r="AP326" i="15"/>
  <c r="AH217" i="15"/>
  <c r="AL423" i="15"/>
  <c r="AL140" i="15"/>
  <c r="AR140" i="15"/>
  <c r="AH140" i="15"/>
  <c r="AP217" i="15"/>
  <c r="AL217" i="15"/>
  <c r="AC112" i="15"/>
  <c r="AP140" i="15"/>
  <c r="AN140" i="15"/>
  <c r="AO217" i="15"/>
  <c r="AR217" i="15"/>
  <c r="AI217" i="15"/>
  <c r="AO140" i="15"/>
  <c r="AM217" i="15"/>
  <c r="AN217" i="15"/>
  <c r="AH163" i="15"/>
  <c r="AB112" i="15"/>
  <c r="D267" i="24"/>
  <c r="E267" i="24"/>
  <c r="AH183" i="15"/>
  <c r="AC278" i="15"/>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R520" i="24"/>
  <c r="Y520" i="24" s="1"/>
  <c r="BB414" i="15"/>
  <c r="BL414" i="15" s="1"/>
  <c r="V408" i="15" s="1"/>
  <c r="AH408" i="15" s="1"/>
  <c r="AP154" i="15"/>
  <c r="F119" i="34"/>
  <c r="V278" i="15"/>
  <c r="AH278" i="15" s="1"/>
  <c r="X201" i="15"/>
  <c r="J34" i="27"/>
  <c r="E192" i="34"/>
  <c r="V404" i="15"/>
  <c r="E362" i="34"/>
  <c r="BO414" i="15"/>
  <c r="Y408" i="15" s="1"/>
  <c r="Y427" i="15" s="1"/>
  <c r="D11" i="43" s="1"/>
  <c r="BR414" i="15"/>
  <c r="AB408" i="15" s="1"/>
  <c r="AB427" i="15" s="1"/>
  <c r="G11" i="43" s="1"/>
  <c r="V210" i="15"/>
  <c r="F191" i="34" s="1"/>
  <c r="E191" i="34"/>
  <c r="V135" i="15"/>
  <c r="E103" i="34"/>
  <c r="AB198" i="15"/>
  <c r="E179" i="34"/>
  <c r="BI414" i="15"/>
  <c r="BS414" i="15" s="1"/>
  <c r="AC408" i="15" s="1"/>
  <c r="AC427" i="15" s="1"/>
  <c r="H11" i="43" s="1"/>
  <c r="BF414" i="15"/>
  <c r="BP414" i="15" s="1"/>
  <c r="Z408" i="15" s="1"/>
  <c r="Z427" i="15" s="1"/>
  <c r="E11" i="43" s="1"/>
  <c r="BN414" i="15"/>
  <c r="X408" i="15" s="1"/>
  <c r="X427" i="15" s="1"/>
  <c r="C11" i="43" s="1"/>
  <c r="V201" i="15"/>
  <c r="F182" i="34" s="1"/>
  <c r="AK267" i="15"/>
  <c r="U567" i="24"/>
  <c r="AA567" i="24" s="1"/>
  <c r="AH423" i="15"/>
  <c r="AO423" i="15"/>
  <c r="AQ423" i="15"/>
  <c r="AO272" i="15"/>
  <c r="AM272" i="15"/>
  <c r="AK272" i="15"/>
  <c r="BG112" i="15"/>
  <c r="K567" i="24"/>
  <c r="W567" i="24" s="1"/>
  <c r="AJ423" i="15"/>
  <c r="AK423" i="15"/>
  <c r="AM423" i="15"/>
  <c r="AI272" i="15"/>
  <c r="AJ272" i="15"/>
  <c r="BE112" i="15"/>
  <c r="AR423" i="15"/>
  <c r="AQ272" i="15"/>
  <c r="AN272" i="15"/>
  <c r="BI112" i="15"/>
  <c r="AI163" i="15"/>
  <c r="V243" i="15"/>
  <c r="F214" i="34" s="1"/>
  <c r="AI247" i="15"/>
  <c r="R540" i="24"/>
  <c r="K405" i="24"/>
  <c r="BB201" i="15"/>
  <c r="BD201" i="15"/>
  <c r="BG201" i="15"/>
  <c r="AA201" i="15"/>
  <c r="BI201" i="15"/>
  <c r="AC201" i="15"/>
  <c r="BF201" i="15"/>
  <c r="Z201" i="15"/>
  <c r="BE201" i="15"/>
  <c r="Y201" i="15"/>
  <c r="BH201" i="15"/>
  <c r="AB201" i="15"/>
  <c r="K540" i="24"/>
  <c r="AH247" i="15"/>
  <c r="V177" i="15"/>
  <c r="AO177" i="15" s="1"/>
  <c r="BH112" i="15"/>
  <c r="AR123" i="15"/>
  <c r="AH123" i="15"/>
  <c r="AC210" i="15"/>
  <c r="AI123" i="15"/>
  <c r="AH191" i="15"/>
  <c r="Z112" i="15"/>
  <c r="BF112" i="15"/>
  <c r="AA210" i="15"/>
  <c r="Y210" i="15"/>
  <c r="AK163" i="15"/>
  <c r="X210" i="15"/>
  <c r="Q124" i="14"/>
  <c r="AB210" i="15"/>
  <c r="AJ163" i="15"/>
  <c r="R456" i="24"/>
  <c r="R567" i="24"/>
  <c r="Y567" i="24" s="1"/>
  <c r="K347" i="24"/>
  <c r="W347" i="24" s="1"/>
  <c r="AR417" i="15"/>
  <c r="AO417" i="15"/>
  <c r="AN417" i="15"/>
  <c r="AK417" i="15"/>
  <c r="AJ417" i="15"/>
  <c r="AQ417" i="15"/>
  <c r="AP417" i="15"/>
  <c r="AM417" i="15"/>
  <c r="K264" i="24"/>
  <c r="AL417" i="15"/>
  <c r="AI417" i="15"/>
  <c r="Q125" i="14"/>
  <c r="X211" i="15"/>
  <c r="AB211" i="15"/>
  <c r="V211" i="15"/>
  <c r="U340" i="24"/>
  <c r="U532" i="24"/>
  <c r="U536" i="24" s="1"/>
  <c r="AA536" i="24" s="1"/>
  <c r="K532" i="24"/>
  <c r="AG536" i="24" s="1"/>
  <c r="AJ123" i="15"/>
  <c r="R532" i="24"/>
  <c r="R536" i="24" s="1"/>
  <c r="Y536" i="24" s="1"/>
  <c r="U226" i="24"/>
  <c r="AI226" i="24" s="1"/>
  <c r="R494" i="24"/>
  <c r="E343" i="24"/>
  <c r="K444" i="24"/>
  <c r="W444" i="24" s="1"/>
  <c r="K456" i="24"/>
  <c r="U210"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302" i="24"/>
  <c r="R444" i="24"/>
  <c r="Y444" i="24" s="1"/>
  <c r="U456" i="24"/>
  <c r="K157" i="24"/>
  <c r="K494" i="24"/>
  <c r="K340" i="24"/>
  <c r="R157" i="24"/>
  <c r="Y157" i="24" s="1"/>
  <c r="R340" i="24"/>
  <c r="U494" i="24"/>
  <c r="R309" i="24"/>
  <c r="Y309" i="24" s="1"/>
  <c r="K309" i="24"/>
  <c r="W309" i="24" s="1"/>
  <c r="R302" i="24"/>
  <c r="R210" i="24"/>
  <c r="K210" i="24"/>
  <c r="K290" i="24"/>
  <c r="W290" i="24" s="1"/>
  <c r="U302" i="24"/>
  <c r="R290" i="24"/>
  <c r="Y290" i="24" s="1"/>
  <c r="BI113" i="15"/>
  <c r="AJ329" i="15"/>
  <c r="AI329" i="15"/>
  <c r="AH329" i="15"/>
  <c r="AI191" i="15"/>
  <c r="AM191" i="15"/>
  <c r="AK191" i="15"/>
  <c r="AM163" i="15"/>
  <c r="AN267" i="15"/>
  <c r="AL267" i="15"/>
  <c r="AP267" i="15"/>
  <c r="AI267" i="15"/>
  <c r="AH267" i="15"/>
  <c r="AM267" i="15"/>
  <c r="AQ267" i="15"/>
  <c r="AJ267" i="15"/>
  <c r="AO267" i="15"/>
  <c r="AR267" i="15"/>
  <c r="AK312" i="15"/>
  <c r="AL312" i="1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K123" i="15"/>
  <c r="AP329" i="15"/>
  <c r="AN329" i="15"/>
  <c r="AO326" i="15"/>
  <c r="AO123" i="15"/>
  <c r="AK329" i="15"/>
  <c r="AL329" i="15"/>
  <c r="BF188" i="1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C153" i="24"/>
  <c r="D482" i="24"/>
  <c r="Z135" i="15"/>
  <c r="Q235" i="14"/>
  <c r="Z248" i="15"/>
  <c r="E233" i="24"/>
  <c r="Q97" i="14"/>
  <c r="AB135" i="15"/>
  <c r="AA135" i="15"/>
  <c r="AC135" i="15"/>
  <c r="X135" i="15"/>
  <c r="Q61" i="14"/>
  <c r="F54" i="41" s="1"/>
  <c r="AC198" i="15"/>
  <c r="Z198" i="15"/>
  <c r="Z243" i="15"/>
  <c r="X198" i="15"/>
  <c r="AA198" i="15"/>
  <c r="X243" i="15"/>
  <c r="Y198" i="15"/>
  <c r="Q112" i="14"/>
  <c r="T108" i="16"/>
  <c r="T103" i="16"/>
  <c r="T105" i="16"/>
  <c r="V248" i="15"/>
  <c r="F219" i="34" s="1"/>
  <c r="V198" i="15"/>
  <c r="F179" i="34" s="1"/>
  <c r="Y290" i="15"/>
  <c r="AA290" i="15"/>
  <c r="AB290" i="15"/>
  <c r="Z290" i="15"/>
  <c r="AC290" i="15"/>
  <c r="Y248" i="15"/>
  <c r="AA248" i="15"/>
  <c r="AC248" i="15"/>
  <c r="X248" i="15"/>
  <c r="Q144" i="14"/>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AA427" i="15"/>
  <c r="F11" i="43" s="1"/>
  <c r="P38" i="31" l="1"/>
  <c r="P30" i="31"/>
  <c r="P21" i="31"/>
  <c r="AL512" i="34"/>
  <c r="AN510" i="34" s="1" a="1"/>
  <c r="AL494" i="34"/>
  <c r="AL495" i="34"/>
  <c r="AL478" i="34"/>
  <c r="AL477" i="34"/>
  <c r="AN477" i="34" s="1" a="1"/>
  <c r="AL484" i="34"/>
  <c r="AN484" i="34" s="1" a="1"/>
  <c r="U32" i="44"/>
  <c r="T32" i="44"/>
  <c r="S32" i="44"/>
  <c r="B96" i="45" s="1"/>
  <c r="U35" i="44"/>
  <c r="T35" i="44"/>
  <c r="S35" i="44"/>
  <c r="B99" i="45" s="1"/>
  <c r="T33" i="44"/>
  <c r="S33" i="44"/>
  <c r="B97" i="45" s="1"/>
  <c r="U33" i="44"/>
  <c r="S37" i="44"/>
  <c r="B101" i="45" s="1"/>
  <c r="T37" i="44"/>
  <c r="U37" i="44"/>
  <c r="U34" i="44"/>
  <c r="S34" i="44"/>
  <c r="B98" i="45" s="1"/>
  <c r="T34" i="44"/>
  <c r="AN499" i="34" a="1"/>
  <c r="AP499" i="34" s="1"/>
  <c r="D502" i="34" s="1"/>
  <c r="S11" i="31"/>
  <c r="T11" i="31"/>
  <c r="B234" i="45"/>
  <c r="B232" i="45"/>
  <c r="AJ40" i="24"/>
  <c r="E8" i="42"/>
  <c r="E545" i="34" s="1"/>
  <c r="AG73" i="24"/>
  <c r="AN470" i="34"/>
  <c r="G39" i="42"/>
  <c r="AL506" i="34"/>
  <c r="AN505" i="34" s="1" a="1"/>
  <c r="AB545" i="24"/>
  <c r="AF545" i="24" s="1"/>
  <c r="AV35" i="24" s="1"/>
  <c r="AH53" i="24"/>
  <c r="H25" i="42"/>
  <c r="G15" i="41"/>
  <c r="G43" i="41"/>
  <c r="G27" i="41"/>
  <c r="G22" i="41"/>
  <c r="I16" i="41" s="1"/>
  <c r="B139" i="45" s="1"/>
  <c r="G48" i="41"/>
  <c r="D54" i="41"/>
  <c r="G53" i="41"/>
  <c r="AL489" i="34"/>
  <c r="W540" i="24"/>
  <c r="AG540" i="24"/>
  <c r="AG545" i="24" s="1"/>
  <c r="Y405" i="24"/>
  <c r="AH405" i="24"/>
  <c r="AJ57" i="24"/>
  <c r="AG53" i="24"/>
  <c r="AG57" i="24" s="1"/>
  <c r="Y540" i="24"/>
  <c r="Z545" i="24" s="1"/>
  <c r="AE545" i="24" s="1"/>
  <c r="AU35" i="24" s="1"/>
  <c r="AH540" i="24"/>
  <c r="AH545" i="24" s="1"/>
  <c r="W405" i="24"/>
  <c r="AG405" i="24"/>
  <c r="AB17" i="24"/>
  <c r="AL422" i="24"/>
  <c r="AM422" i="24"/>
  <c r="AJ154" i="24"/>
  <c r="AG150" i="24"/>
  <c r="AG154" i="24" s="1"/>
  <c r="AH150" i="24"/>
  <c r="AH154" i="24" s="1"/>
  <c r="AL154" i="24"/>
  <c r="AN422" i="24"/>
  <c r="AO422" i="24"/>
  <c r="AG54" i="20"/>
  <c r="I63" i="20"/>
  <c r="M13" i="43"/>
  <c r="N13" i="43" s="1"/>
  <c r="H36" i="42"/>
  <c r="M11" i="43"/>
  <c r="N11" i="43" s="1"/>
  <c r="H33" i="42"/>
  <c r="AA429" i="15"/>
  <c r="AB429" i="15"/>
  <c r="E54" i="41"/>
  <c r="H38" i="42"/>
  <c r="AI421" i="24"/>
  <c r="AI422" i="24" s="1"/>
  <c r="AJ664" i="24"/>
  <c r="AJ669" i="24" s="1"/>
  <c r="AJ27" i="24"/>
  <c r="AL14" i="24"/>
  <c r="L8" i="43" s="1"/>
  <c r="AL27" i="24"/>
  <c r="AK27" i="24"/>
  <c r="AM14" i="24"/>
  <c r="O8" i="43" s="1"/>
  <c r="AM27" i="24"/>
  <c r="H230" i="24"/>
  <c r="E114" i="24"/>
  <c r="AB15" i="24"/>
  <c r="H192" i="24"/>
  <c r="H211" i="24"/>
  <c r="E150" i="24"/>
  <c r="D150" i="24"/>
  <c r="X669" i="24"/>
  <c r="AD669" i="24" s="1"/>
  <c r="AT40" i="24" s="1"/>
  <c r="AJ58" i="20"/>
  <c r="F614" i="34" s="1"/>
  <c r="K25" i="20"/>
  <c r="E614" i="34" s="1"/>
  <c r="J63" i="20"/>
  <c r="K421" i="24"/>
  <c r="AG421" i="24" s="1"/>
  <c r="AG19" i="24"/>
  <c r="J19" i="43" s="1"/>
  <c r="AL19" i="24"/>
  <c r="L20" i="43" s="1"/>
  <c r="AH19" i="24"/>
  <c r="J20" i="43" s="1"/>
  <c r="AM19" i="24"/>
  <c r="O20" i="43" s="1"/>
  <c r="AN19" i="24"/>
  <c r="L21" i="43" s="1"/>
  <c r="AI19" i="24"/>
  <c r="J21" i="43" s="1"/>
  <c r="AO19" i="24"/>
  <c r="O21" i="43" s="1"/>
  <c r="AK19" i="24"/>
  <c r="O19" i="43" s="1"/>
  <c r="AJ19" i="24"/>
  <c r="L19" i="43" s="1"/>
  <c r="AB19" i="24"/>
  <c r="AK545" i="24"/>
  <c r="AJ545" i="24"/>
  <c r="AL545" i="24"/>
  <c r="AM545" i="24"/>
  <c r="AJ14" i="24"/>
  <c r="L7" i="43" s="1"/>
  <c r="AK14" i="24"/>
  <c r="O7" i="43" s="1"/>
  <c r="H532" i="24"/>
  <c r="AB14" i="24" s="1"/>
  <c r="AG267" i="24"/>
  <c r="AG664" i="24"/>
  <c r="AG669" i="24" s="1"/>
  <c r="AK664" i="24"/>
  <c r="AK669" i="24" s="1"/>
  <c r="AI555" i="24"/>
  <c r="AI559" i="24" s="1"/>
  <c r="AI568" i="24" s="1"/>
  <c r="AO559" i="24"/>
  <c r="AO568" i="24" s="1"/>
  <c r="AN559" i="24"/>
  <c r="AN568" i="24" s="1"/>
  <c r="R230" i="24"/>
  <c r="Y230" i="24" s="1"/>
  <c r="AI230" i="24"/>
  <c r="AG321" i="24"/>
  <c r="AG325" i="24" s="1"/>
  <c r="E157" i="24"/>
  <c r="R115" i="24"/>
  <c r="Y115" i="24" s="1"/>
  <c r="Z124" i="24" s="1"/>
  <c r="AE124" i="24" s="1"/>
  <c r="AU13" i="24" s="1"/>
  <c r="K192" i="24"/>
  <c r="O196" i="24" s="1"/>
  <c r="K115" i="24"/>
  <c r="W115" i="24" s="1"/>
  <c r="K211" i="24"/>
  <c r="W211" i="24" s="1"/>
  <c r="X215" i="24" s="1"/>
  <c r="R211" i="24"/>
  <c r="Y211" i="24" s="1"/>
  <c r="AI192" i="24"/>
  <c r="R479" i="24"/>
  <c r="Y479" i="24" s="1"/>
  <c r="Z483" i="24" s="1"/>
  <c r="K287" i="24"/>
  <c r="W287" i="24" s="1"/>
  <c r="K325" i="24"/>
  <c r="O329" i="24" s="1"/>
  <c r="AL17" i="24"/>
  <c r="L16" i="43" s="1"/>
  <c r="R192" i="24"/>
  <c r="Y192" i="24" s="1"/>
  <c r="AM17" i="24"/>
  <c r="O16" i="43" s="1"/>
  <c r="AK17" i="24"/>
  <c r="AL34" i="24" s="1"/>
  <c r="AJ17" i="24"/>
  <c r="AI34" i="24" s="1"/>
  <c r="U287" i="24"/>
  <c r="AA287" i="24" s="1"/>
  <c r="AB296" i="24" s="1"/>
  <c r="AF296" i="24" s="1"/>
  <c r="AV22" i="24" s="1"/>
  <c r="AI531" i="24"/>
  <c r="AI532" i="24" s="1"/>
  <c r="AI536" i="24" s="1"/>
  <c r="AI545" i="24" s="1"/>
  <c r="AE19" i="24"/>
  <c r="U306" i="24"/>
  <c r="AA306" i="24" s="1"/>
  <c r="AB315" i="24" s="1"/>
  <c r="AF315" i="24" s="1"/>
  <c r="AV23" i="24" s="1"/>
  <c r="AI302" i="24"/>
  <c r="AI306" i="24" s="1"/>
  <c r="AO306" i="24"/>
  <c r="AN306" i="24"/>
  <c r="R306" i="24"/>
  <c r="Y306" i="24" s="1"/>
  <c r="Z315" i="24" s="1"/>
  <c r="AE315" i="24" s="1"/>
  <c r="AU23" i="24" s="1"/>
  <c r="AH302" i="24"/>
  <c r="AH306" i="24" s="1"/>
  <c r="AL306" i="24"/>
  <c r="AM306" i="24"/>
  <c r="R344" i="24"/>
  <c r="Y344" i="24" s="1"/>
  <c r="Z353" i="24" s="1"/>
  <c r="AE353" i="24" s="1"/>
  <c r="AU25" i="24" s="1"/>
  <c r="AH344" i="24"/>
  <c r="AH340" i="24"/>
  <c r="AL344" i="24"/>
  <c r="AM344" i="24"/>
  <c r="AG302" i="24"/>
  <c r="AG306" i="24" s="1"/>
  <c r="AJ306" i="24"/>
  <c r="AK306" i="24"/>
  <c r="U211" i="24"/>
  <c r="AA211" i="24" s="1"/>
  <c r="AB220" i="24" s="1"/>
  <c r="AF220" i="24" s="1"/>
  <c r="AV18" i="24" s="1"/>
  <c r="AI210" i="24"/>
  <c r="AM541" i="24"/>
  <c r="AI340" i="24"/>
  <c r="AI344" i="24" s="1"/>
  <c r="AO344" i="24"/>
  <c r="AN344" i="24"/>
  <c r="H154" i="24"/>
  <c r="AK154" i="24"/>
  <c r="R77" i="24"/>
  <c r="Y77" i="24" s="1"/>
  <c r="Z86" i="24" s="1"/>
  <c r="AE86" i="24" s="1"/>
  <c r="AU11" i="24" s="1"/>
  <c r="AH73" i="24"/>
  <c r="AH77" i="24" s="1"/>
  <c r="AL77" i="24"/>
  <c r="AM77" i="24"/>
  <c r="AG283" i="24"/>
  <c r="H287" i="24"/>
  <c r="AK287" i="24"/>
  <c r="AJ287" i="24"/>
  <c r="U441" i="24"/>
  <c r="AA441" i="24" s="1"/>
  <c r="AB450" i="24" s="1"/>
  <c r="AF450" i="24" s="1"/>
  <c r="AV30" i="24" s="1"/>
  <c r="AI437" i="24"/>
  <c r="AI441" i="24" s="1"/>
  <c r="AN441" i="24"/>
  <c r="AO441" i="24"/>
  <c r="R619" i="24"/>
  <c r="Y619" i="24" s="1"/>
  <c r="Z628" i="24" s="1"/>
  <c r="AE628" i="24" s="1"/>
  <c r="AU39" i="24" s="1"/>
  <c r="AH619" i="24"/>
  <c r="AH615" i="24"/>
  <c r="AM619" i="24"/>
  <c r="AL619" i="24"/>
  <c r="AG77" i="24"/>
  <c r="AJ77" i="24"/>
  <c r="AK77" i="24"/>
  <c r="R363" i="24"/>
  <c r="Y363" i="24" s="1"/>
  <c r="Z372" i="24" s="1"/>
  <c r="AE372" i="24" s="1"/>
  <c r="AU26" i="24" s="1"/>
  <c r="AH359" i="24"/>
  <c r="AH363" i="24" s="1"/>
  <c r="AM363" i="24"/>
  <c r="AL363" i="24"/>
  <c r="AG417" i="24"/>
  <c r="AG619" i="24"/>
  <c r="AG615" i="24"/>
  <c r="AJ619" i="24"/>
  <c r="AK619" i="24"/>
  <c r="AG359" i="24"/>
  <c r="AG363" i="24" s="1"/>
  <c r="AJ363" i="24"/>
  <c r="AK363" i="24"/>
  <c r="R96" i="24"/>
  <c r="Y96" i="24" s="1"/>
  <c r="Z105" i="24" s="1"/>
  <c r="AE105" i="24" s="1"/>
  <c r="AU12" i="24" s="1"/>
  <c r="AH92" i="24"/>
  <c r="AH96" i="24"/>
  <c r="AL96" i="24"/>
  <c r="AM96" i="24"/>
  <c r="AH115" i="24"/>
  <c r="AH111" i="24"/>
  <c r="AM115" i="24"/>
  <c r="AL115" i="24"/>
  <c r="U363" i="24"/>
  <c r="AA363" i="24" s="1"/>
  <c r="AB372" i="24" s="1"/>
  <c r="AF372" i="24" s="1"/>
  <c r="AV26" i="24" s="1"/>
  <c r="AI359" i="24"/>
  <c r="AI363" i="24" s="1"/>
  <c r="AN363" i="24"/>
  <c r="AO363" i="24"/>
  <c r="U401" i="24"/>
  <c r="AA401" i="24" s="1"/>
  <c r="AB411" i="24" s="1"/>
  <c r="AF411" i="24" s="1"/>
  <c r="AV28" i="24" s="1"/>
  <c r="AO401" i="24"/>
  <c r="AN401" i="24"/>
  <c r="R249" i="24"/>
  <c r="Y249" i="24" s="1"/>
  <c r="AH245" i="24"/>
  <c r="AH249" i="24" s="1"/>
  <c r="AL249" i="24"/>
  <c r="AM249" i="24"/>
  <c r="H517" i="24"/>
  <c r="H521" i="24" s="1"/>
  <c r="H460" i="24"/>
  <c r="AH188" i="24"/>
  <c r="AL192" i="24"/>
  <c r="AM192" i="24"/>
  <c r="AM536" i="24"/>
  <c r="H306" i="24"/>
  <c r="AN532" i="24"/>
  <c r="H173" i="24"/>
  <c r="H177" i="24" s="1"/>
  <c r="H579" i="24"/>
  <c r="H441" i="24"/>
  <c r="H445" i="24" s="1"/>
  <c r="AG207" i="24"/>
  <c r="AG494" i="24"/>
  <c r="AG498" i="24" s="1"/>
  <c r="AJ498" i="24"/>
  <c r="AK498" i="24"/>
  <c r="AG456" i="24"/>
  <c r="AG460" i="24" s="1"/>
  <c r="AJ460" i="24"/>
  <c r="AK460" i="24"/>
  <c r="R498" i="24"/>
  <c r="Y498" i="24" s="1"/>
  <c r="AH494" i="24"/>
  <c r="AH498" i="24" s="1"/>
  <c r="AM498" i="24"/>
  <c r="AL498" i="24"/>
  <c r="AG264" i="24"/>
  <c r="AG268" i="24" s="1"/>
  <c r="AK268" i="24"/>
  <c r="AJ268" i="24"/>
  <c r="AI150" i="24"/>
  <c r="AI154" i="24"/>
  <c r="AO154" i="24"/>
  <c r="AJ230" i="24"/>
  <c r="AK230" i="24"/>
  <c r="K559" i="24"/>
  <c r="W559" i="24" s="1"/>
  <c r="AG555" i="24"/>
  <c r="AG559" i="24"/>
  <c r="H559" i="24"/>
  <c r="AJ559" i="24"/>
  <c r="AK559" i="24"/>
  <c r="R382" i="24"/>
  <c r="Y382" i="24" s="1"/>
  <c r="AM382" i="24"/>
  <c r="AL382" i="24"/>
  <c r="R401" i="24"/>
  <c r="Y401" i="24" s="1"/>
  <c r="AH397" i="24"/>
  <c r="AH401" i="24" s="1"/>
  <c r="AL401" i="24"/>
  <c r="AM401" i="24"/>
  <c r="AK517" i="24"/>
  <c r="AJ517" i="24"/>
  <c r="R441" i="24"/>
  <c r="Y441" i="24" s="1"/>
  <c r="AH437" i="24"/>
  <c r="AH441" i="24" s="1"/>
  <c r="AL441" i="24"/>
  <c r="AM441" i="24"/>
  <c r="R173" i="24"/>
  <c r="Y173" i="24" s="1"/>
  <c r="Z182" i="24" s="1"/>
  <c r="AE182" i="24" s="1"/>
  <c r="AU16" i="24" s="1"/>
  <c r="AH173" i="24"/>
  <c r="AH169" i="24"/>
  <c r="AM173" i="24"/>
  <c r="AL173" i="24"/>
  <c r="U134" i="24"/>
  <c r="AA134" i="24" s="1"/>
  <c r="AB143" i="24" s="1"/>
  <c r="AF143" i="24" s="1"/>
  <c r="AV14" i="24" s="1"/>
  <c r="AI134" i="24"/>
  <c r="AI130" i="24"/>
  <c r="AO134" i="24"/>
  <c r="AN134" i="24"/>
  <c r="U268" i="24"/>
  <c r="AA268" i="24" s="1"/>
  <c r="AB277" i="24" s="1"/>
  <c r="AF277" i="24" s="1"/>
  <c r="AV21" i="24" s="1"/>
  <c r="AI267" i="24"/>
  <c r="AI268" i="24" s="1"/>
  <c r="AG437" i="24"/>
  <c r="AG441" i="24" s="1"/>
  <c r="AK441" i="24"/>
  <c r="AJ441" i="24"/>
  <c r="AH475" i="24"/>
  <c r="AH479" i="24"/>
  <c r="AL479" i="24"/>
  <c r="AM479" i="24"/>
  <c r="AG397" i="24"/>
  <c r="AG401" i="24" s="1"/>
  <c r="H401" i="24"/>
  <c r="H406" i="24" s="1"/>
  <c r="AJ401" i="24"/>
  <c r="AK401" i="24"/>
  <c r="AG169" i="24"/>
  <c r="AG173" i="24" s="1"/>
  <c r="AJ173" i="24"/>
  <c r="AK173" i="24"/>
  <c r="U382" i="24"/>
  <c r="AA382" i="24" s="1"/>
  <c r="AB391" i="24" s="1"/>
  <c r="AF391" i="24" s="1"/>
  <c r="AV27" i="24" s="1"/>
  <c r="AI378" i="24"/>
  <c r="AI382" i="24"/>
  <c r="AO382" i="24"/>
  <c r="AN382" i="24"/>
  <c r="AG92" i="24"/>
  <c r="AG96" i="24" s="1"/>
  <c r="AK96" i="24"/>
  <c r="AJ96" i="24"/>
  <c r="AG513" i="24"/>
  <c r="AG517" i="24" s="1"/>
  <c r="H249" i="24"/>
  <c r="AG226" i="24"/>
  <c r="AG230" i="24" s="1"/>
  <c r="AH531" i="24"/>
  <c r="AH532" i="24" s="1"/>
  <c r="AH536" i="24" s="1"/>
  <c r="AJ536" i="24"/>
  <c r="AH378" i="24"/>
  <c r="AH382" i="24" s="1"/>
  <c r="H268" i="24"/>
  <c r="AG188" i="24"/>
  <c r="AO532" i="24"/>
  <c r="AH210" i="24"/>
  <c r="H344" i="24"/>
  <c r="H134" i="24"/>
  <c r="AG210" i="24"/>
  <c r="U460" i="24"/>
  <c r="AA460" i="24" s="1"/>
  <c r="AB469" i="24" s="1"/>
  <c r="AF469" i="24" s="1"/>
  <c r="AV31" i="24" s="1"/>
  <c r="AI456" i="24"/>
  <c r="AI460" i="24"/>
  <c r="AN460" i="24"/>
  <c r="AO460" i="24"/>
  <c r="U230" i="24"/>
  <c r="AA230" i="24" s="1"/>
  <c r="AB239" i="24" s="1"/>
  <c r="AF239" i="24" s="1"/>
  <c r="AV19" i="24" s="1"/>
  <c r="AN230" i="24"/>
  <c r="AO230" i="24"/>
  <c r="R460" i="24"/>
  <c r="Y460" i="24" s="1"/>
  <c r="AH456" i="24"/>
  <c r="AH460" i="24"/>
  <c r="AL460" i="24"/>
  <c r="AM460" i="24"/>
  <c r="R517" i="24"/>
  <c r="Y517" i="24" s="1"/>
  <c r="Z526" i="24" s="1"/>
  <c r="AE526" i="24" s="1"/>
  <c r="AU34" i="24" s="1"/>
  <c r="AH513" i="24"/>
  <c r="AH517" i="24" s="1"/>
  <c r="AM517" i="24"/>
  <c r="AL517" i="24"/>
  <c r="U517" i="24"/>
  <c r="AA517" i="24" s="1"/>
  <c r="AB526" i="24" s="1"/>
  <c r="AF526" i="24" s="1"/>
  <c r="AV34" i="24" s="1"/>
  <c r="AO517" i="24"/>
  <c r="AN517" i="24"/>
  <c r="U599" i="24"/>
  <c r="AA599" i="24" s="1"/>
  <c r="AB608" i="24" s="1"/>
  <c r="AF608" i="24" s="1"/>
  <c r="AV38" i="24" s="1"/>
  <c r="AI595" i="24"/>
  <c r="AI599" i="24" s="1"/>
  <c r="AO599" i="24"/>
  <c r="AN599" i="24"/>
  <c r="K579" i="24"/>
  <c r="AG575" i="24"/>
  <c r="AG579" i="24"/>
  <c r="AK579" i="24"/>
  <c r="AJ579" i="24"/>
  <c r="R134" i="24"/>
  <c r="Y134" i="24" s="1"/>
  <c r="AH130" i="24"/>
  <c r="AH134" i="24" s="1"/>
  <c r="AL134" i="24"/>
  <c r="AM134" i="24"/>
  <c r="AG475" i="24"/>
  <c r="AG479" i="24" s="1"/>
  <c r="AJ479" i="24"/>
  <c r="AK479" i="24"/>
  <c r="AI207" i="24"/>
  <c r="AO211" i="24"/>
  <c r="AN211" i="24"/>
  <c r="R57" i="24"/>
  <c r="Y57" i="24" s="1"/>
  <c r="AM57" i="24"/>
  <c r="AL57" i="24"/>
  <c r="AG378" i="24"/>
  <c r="AG382" i="24" s="1"/>
  <c r="H382" i="24"/>
  <c r="H386" i="24" s="1"/>
  <c r="AK382" i="24"/>
  <c r="AJ382" i="24"/>
  <c r="AI475" i="24"/>
  <c r="AI479" i="24" s="1"/>
  <c r="AI488" i="24" s="1"/>
  <c r="AN479" i="24"/>
  <c r="AN488" i="24" s="1"/>
  <c r="AO479" i="24"/>
  <c r="AO488" i="24" s="1"/>
  <c r="AI325" i="24"/>
  <c r="AI321" i="24"/>
  <c r="AO325" i="24"/>
  <c r="AN325" i="24"/>
  <c r="R559" i="24"/>
  <c r="Y559" i="24" s="1"/>
  <c r="Z568" i="24" s="1"/>
  <c r="AE568" i="24" s="1"/>
  <c r="AU36" i="24" s="1"/>
  <c r="AH555" i="24"/>
  <c r="AH559" i="24" s="1"/>
  <c r="AL559" i="24"/>
  <c r="AM559" i="24"/>
  <c r="AJ192" i="24"/>
  <c r="AK192" i="24"/>
  <c r="AH207" i="24"/>
  <c r="AM211" i="24"/>
  <c r="AL211" i="24"/>
  <c r="U57" i="24"/>
  <c r="AA57" i="24" s="1"/>
  <c r="AN57" i="24"/>
  <c r="AO57" i="24"/>
  <c r="AI57" i="24"/>
  <c r="U619" i="24"/>
  <c r="AA619" i="24" s="1"/>
  <c r="AB628" i="24" s="1"/>
  <c r="AF628" i="24" s="1"/>
  <c r="AV39" i="24" s="1"/>
  <c r="AI615" i="24"/>
  <c r="AI619" i="24" s="1"/>
  <c r="AN619" i="24"/>
  <c r="AO619" i="24"/>
  <c r="AH325" i="24"/>
  <c r="AH321" i="24"/>
  <c r="AL325" i="24"/>
  <c r="AM325" i="24"/>
  <c r="U173" i="24"/>
  <c r="AA173" i="24" s="1"/>
  <c r="AB182" i="24" s="1"/>
  <c r="AF182" i="24" s="1"/>
  <c r="AV16" i="24" s="1"/>
  <c r="AI169" i="24"/>
  <c r="AI173" i="24" s="1"/>
  <c r="AN173" i="24"/>
  <c r="AO173" i="24"/>
  <c r="AH226" i="24"/>
  <c r="AH230" i="24" s="1"/>
  <c r="AM230" i="24"/>
  <c r="AL230" i="24"/>
  <c r="H57" i="24"/>
  <c r="AK57" i="24"/>
  <c r="AG595" i="24"/>
  <c r="AG599" i="24" s="1"/>
  <c r="AK599" i="24"/>
  <c r="AJ599" i="24"/>
  <c r="AI397" i="24"/>
  <c r="AI401" i="24" s="1"/>
  <c r="H599" i="24"/>
  <c r="H603" i="24" s="1"/>
  <c r="AJ325" i="24"/>
  <c r="AG531" i="24"/>
  <c r="AG532" i="24" s="1"/>
  <c r="H619" i="24"/>
  <c r="H623" i="24" s="1"/>
  <c r="AG130" i="24"/>
  <c r="AG134" i="24" s="1"/>
  <c r="H363" i="24"/>
  <c r="H367" i="24" s="1"/>
  <c r="AG286" i="24"/>
  <c r="H115" i="24"/>
  <c r="U498" i="24"/>
  <c r="AA498" i="24" s="1"/>
  <c r="AB507" i="24" s="1"/>
  <c r="AF507" i="24" s="1"/>
  <c r="AV33" i="24" s="1"/>
  <c r="AI494" i="24"/>
  <c r="AI498" i="24"/>
  <c r="AN498" i="24"/>
  <c r="AO498" i="24"/>
  <c r="AG340" i="24"/>
  <c r="AG344" i="24" s="1"/>
  <c r="AJ344" i="24"/>
  <c r="AK344" i="24"/>
  <c r="R422" i="24"/>
  <c r="Y422" i="24" s="1"/>
  <c r="Z431" i="24" s="1"/>
  <c r="AE431" i="24" s="1"/>
  <c r="AU29" i="24" s="1"/>
  <c r="AH421" i="24"/>
  <c r="R287" i="24"/>
  <c r="Y287" i="24" s="1"/>
  <c r="AH287" i="24"/>
  <c r="AH283" i="24"/>
  <c r="AL287" i="24"/>
  <c r="AM287" i="24"/>
  <c r="AJ134" i="24"/>
  <c r="AK134" i="24"/>
  <c r="U77" i="24"/>
  <c r="AA77" i="24" s="1"/>
  <c r="AB86" i="24" s="1"/>
  <c r="AF86" i="24" s="1"/>
  <c r="AV11" i="24" s="1"/>
  <c r="AI77" i="24"/>
  <c r="AI73" i="24"/>
  <c r="AN77" i="24"/>
  <c r="AO77" i="24"/>
  <c r="AI283" i="24"/>
  <c r="AI287" i="24" s="1"/>
  <c r="AN287" i="24"/>
  <c r="AO287" i="24"/>
  <c r="AG245" i="24"/>
  <c r="AG249" i="24" s="1"/>
  <c r="AK249" i="24"/>
  <c r="AJ249" i="24"/>
  <c r="U96" i="24"/>
  <c r="AA96" i="24" s="1"/>
  <c r="AI92" i="24"/>
  <c r="AI96" i="24" s="1"/>
  <c r="AO96" i="24"/>
  <c r="AN96" i="24"/>
  <c r="U579" i="24"/>
  <c r="AA579" i="24" s="1"/>
  <c r="AB588" i="24" s="1"/>
  <c r="AF588" i="24" s="1"/>
  <c r="AV37" i="24" s="1"/>
  <c r="AI575" i="24"/>
  <c r="AI579" i="24" s="1"/>
  <c r="AO579" i="24"/>
  <c r="AN579" i="24"/>
  <c r="AM154" i="24"/>
  <c r="AI111" i="24"/>
  <c r="AI115" i="24" s="1"/>
  <c r="AO115" i="24"/>
  <c r="AN115" i="24"/>
  <c r="U192" i="24"/>
  <c r="AA192" i="24" s="1"/>
  <c r="AB201" i="24" s="1"/>
  <c r="AF201" i="24" s="1"/>
  <c r="AV17" i="24" s="1"/>
  <c r="AN192" i="24"/>
  <c r="AO192" i="24"/>
  <c r="AI417" i="24"/>
  <c r="AH264" i="24"/>
  <c r="AH268" i="24" s="1"/>
  <c r="AL268" i="24"/>
  <c r="AM268" i="24"/>
  <c r="U249" i="24"/>
  <c r="AA249" i="24" s="1"/>
  <c r="AB258" i="24" s="1"/>
  <c r="AF258" i="24" s="1"/>
  <c r="AV20" i="24" s="1"/>
  <c r="AI245" i="24"/>
  <c r="AI249" i="24" s="1"/>
  <c r="AN249" i="24"/>
  <c r="AO249" i="24"/>
  <c r="R599" i="24"/>
  <c r="Y599" i="24" s="1"/>
  <c r="Z608" i="24" s="1"/>
  <c r="AE608" i="24" s="1"/>
  <c r="AU38" i="24" s="1"/>
  <c r="AH595" i="24"/>
  <c r="AH599" i="24"/>
  <c r="AM599" i="24"/>
  <c r="AL599" i="24"/>
  <c r="AI264" i="24"/>
  <c r="AN268" i="24"/>
  <c r="AO268" i="24"/>
  <c r="AK211" i="24"/>
  <c r="AJ211" i="24"/>
  <c r="AG111" i="24"/>
  <c r="AG115" i="24" s="1"/>
  <c r="AK115" i="24"/>
  <c r="AJ115" i="24"/>
  <c r="R579" i="24"/>
  <c r="Y579" i="24" s="1"/>
  <c r="Z588" i="24" s="1"/>
  <c r="AE588" i="24" s="1"/>
  <c r="AU37" i="24" s="1"/>
  <c r="AH579" i="24"/>
  <c r="AH575" i="24"/>
  <c r="AL579" i="24"/>
  <c r="AM579" i="24"/>
  <c r="H498" i="24"/>
  <c r="AH417" i="24"/>
  <c r="AH422" i="24" s="1"/>
  <c r="H325" i="24"/>
  <c r="AL536" i="24"/>
  <c r="AK536" i="24"/>
  <c r="H479" i="24"/>
  <c r="AK325" i="24"/>
  <c r="H77" i="24"/>
  <c r="AH191" i="24"/>
  <c r="AH28" i="24" s="1"/>
  <c r="V6" i="42" s="1"/>
  <c r="H96" i="24"/>
  <c r="H100" i="24" s="1"/>
  <c r="U325" i="24"/>
  <c r="AA325" i="24" s="1"/>
  <c r="AB334" i="24" s="1"/>
  <c r="AF334" i="24" s="1"/>
  <c r="AV24" i="24" s="1"/>
  <c r="U115" i="24"/>
  <c r="AA115" i="24" s="1"/>
  <c r="AB124" i="24" s="1"/>
  <c r="AF124" i="24" s="1"/>
  <c r="AV13" i="24" s="1"/>
  <c r="R268" i="24"/>
  <c r="Y268" i="24" s="1"/>
  <c r="K479" i="24"/>
  <c r="W479" i="24" s="1"/>
  <c r="R325" i="24"/>
  <c r="Y325" i="24" s="1"/>
  <c r="Z334" i="24" s="1"/>
  <c r="AE334" i="24" s="1"/>
  <c r="AU24" i="24" s="1"/>
  <c r="K249" i="24"/>
  <c r="K134" i="24"/>
  <c r="O138" i="24" s="1"/>
  <c r="K306" i="24"/>
  <c r="U344" i="24"/>
  <c r="AA344" i="24" s="1"/>
  <c r="AB353" i="24" s="1"/>
  <c r="AF353" i="24" s="1"/>
  <c r="AV25" i="24" s="1"/>
  <c r="W599" i="24"/>
  <c r="X603" i="24" s="1"/>
  <c r="W96" i="24"/>
  <c r="W441" i="24"/>
  <c r="X445" i="24" s="1"/>
  <c r="K57" i="24"/>
  <c r="W382" i="24"/>
  <c r="W363" i="24"/>
  <c r="W619" i="24"/>
  <c r="W401" i="24"/>
  <c r="E513" i="24"/>
  <c r="U422" i="24"/>
  <c r="AA422" i="24" s="1"/>
  <c r="AB431" i="24" s="1"/>
  <c r="AF431" i="24" s="1"/>
  <c r="AV29" i="24" s="1"/>
  <c r="W173" i="24"/>
  <c r="W517" i="24"/>
  <c r="X521" i="24" s="1"/>
  <c r="K77" i="24"/>
  <c r="K230" i="24"/>
  <c r="N234" i="24" s="1"/>
  <c r="BF19" i="24" s="1"/>
  <c r="K154" i="24"/>
  <c r="U154" i="24"/>
  <c r="R154" i="24"/>
  <c r="E286" i="24"/>
  <c r="H380" i="34"/>
  <c r="K380" i="34"/>
  <c r="J380" i="34"/>
  <c r="L380" i="34"/>
  <c r="I380" i="34"/>
  <c r="D23" i="16"/>
  <c r="D555" i="24"/>
  <c r="D191" i="24"/>
  <c r="D575" i="24"/>
  <c r="H38" i="31"/>
  <c r="C525" i="34" s="1"/>
  <c r="C524" i="34"/>
  <c r="E520" i="24"/>
  <c r="L521" i="24" s="1"/>
  <c r="BC34" i="24" s="1"/>
  <c r="D501" i="24"/>
  <c r="N196" i="24"/>
  <c r="BF17" i="24" s="1"/>
  <c r="AQ201" i="15"/>
  <c r="AA159" i="15"/>
  <c r="AI201" i="15"/>
  <c r="D324" i="24"/>
  <c r="AP210" i="15"/>
  <c r="AL404" i="15"/>
  <c r="F362" i="34"/>
  <c r="AP408" i="15"/>
  <c r="AL408" i="15"/>
  <c r="AJ408" i="15"/>
  <c r="AO408" i="15"/>
  <c r="AK408" i="15"/>
  <c r="AM408" i="15"/>
  <c r="AI408" i="15"/>
  <c r="AR408" i="15"/>
  <c r="AN408" i="15"/>
  <c r="AQ408" i="15"/>
  <c r="AM135" i="15"/>
  <c r="F103" i="34"/>
  <c r="E305" i="24"/>
  <c r="AO201" i="15"/>
  <c r="AR201" i="15"/>
  <c r="AO135" i="15"/>
  <c r="AP201" i="15"/>
  <c r="AI112" i="15"/>
  <c r="AO269" i="15"/>
  <c r="AI269" i="15"/>
  <c r="AH269" i="15"/>
  <c r="AH380" i="15" s="1"/>
  <c r="AN269" i="15"/>
  <c r="AQ269" i="15"/>
  <c r="F247" i="34"/>
  <c r="AJ269" i="15"/>
  <c r="AP269" i="15"/>
  <c r="AM269" i="15"/>
  <c r="AR269" i="15"/>
  <c r="AL269" i="15"/>
  <c r="AK269" i="15"/>
  <c r="D343" i="24"/>
  <c r="AN177" i="15"/>
  <c r="AJ177" i="15"/>
  <c r="AK177" i="15"/>
  <c r="Z159" i="15"/>
  <c r="AR210" i="15"/>
  <c r="AH112" i="15"/>
  <c r="AI210" i="15"/>
  <c r="AM177" i="15"/>
  <c r="AM210" i="15"/>
  <c r="AO210" i="15"/>
  <c r="AP177" i="15"/>
  <c r="AQ177" i="15"/>
  <c r="AR177" i="15"/>
  <c r="AQ210" i="15"/>
  <c r="AK210" i="15"/>
  <c r="AH210" i="15"/>
  <c r="AL177" i="15"/>
  <c r="AN210" i="15"/>
  <c r="AL210" i="15"/>
  <c r="AJ210" i="15"/>
  <c r="L406" i="24"/>
  <c r="BC28" i="24" s="1"/>
  <c r="D513" i="24"/>
  <c r="AN112" i="15"/>
  <c r="AM112" i="15"/>
  <c r="AK112" i="15"/>
  <c r="AJ112" i="15"/>
  <c r="AL112" i="15"/>
  <c r="AQ112" i="15"/>
  <c r="AP112" i="15"/>
  <c r="AO112" i="15"/>
  <c r="AR112" i="15"/>
  <c r="X380" i="15"/>
  <c r="C15" i="43" s="1"/>
  <c r="E475" i="24"/>
  <c r="AC159" i="15"/>
  <c r="AJ201" i="15"/>
  <c r="AM404" i="15"/>
  <c r="AH404" i="15"/>
  <c r="AH427" i="15" s="1"/>
  <c r="AP404" i="15"/>
  <c r="AO404" i="15"/>
  <c r="AK404" i="15"/>
  <c r="AQ404" i="15"/>
  <c r="AR404" i="15"/>
  <c r="AJ404" i="15"/>
  <c r="AI404" i="15"/>
  <c r="AC380" i="15"/>
  <c r="H15" i="43" s="1"/>
  <c r="Y380" i="15"/>
  <c r="D15" i="43" s="1"/>
  <c r="AB380" i="15"/>
  <c r="G15" i="43" s="1"/>
  <c r="AL201" i="15"/>
  <c r="AN201" i="15"/>
  <c r="AK201" i="15"/>
  <c r="AH201" i="15"/>
  <c r="AM201" i="15"/>
  <c r="AI135" i="15"/>
  <c r="AL135" i="15"/>
  <c r="AN135" i="15"/>
  <c r="AP135" i="15"/>
  <c r="F366" i="34"/>
  <c r="V427" i="15"/>
  <c r="B11" i="43" s="1"/>
  <c r="AN211" i="15"/>
  <c r="F192" i="34"/>
  <c r="AN404" i="15"/>
  <c r="V380" i="15"/>
  <c r="B15" i="43" s="1"/>
  <c r="F255" i="34"/>
  <c r="J10" i="16"/>
  <c r="M380" i="34"/>
  <c r="AI177" i="15"/>
  <c r="F158" i="34"/>
  <c r="AQ234" i="15"/>
  <c r="F207" i="34"/>
  <c r="D114" i="24"/>
  <c r="L367" i="24"/>
  <c r="BC26" i="24" s="1"/>
  <c r="O177" i="24"/>
  <c r="E73" i="24"/>
  <c r="O367" i="24"/>
  <c r="D73" i="24"/>
  <c r="L177" i="24"/>
  <c r="BC16" i="24" s="1"/>
  <c r="D229" i="24"/>
  <c r="E271" i="24"/>
  <c r="AJ211" i="15"/>
  <c r="AM211" i="15"/>
  <c r="AP211" i="15"/>
  <c r="AQ211" i="15"/>
  <c r="AL211" i="15"/>
  <c r="AH211" i="15"/>
  <c r="AO211" i="15"/>
  <c r="AK211" i="15"/>
  <c r="AI211" i="15"/>
  <c r="AR211" i="15"/>
  <c r="V159" i="15"/>
  <c r="AH135" i="15"/>
  <c r="AK135" i="15"/>
  <c r="AQ135" i="15"/>
  <c r="AJ135" i="15"/>
  <c r="AR135" i="15"/>
  <c r="Z380" i="15"/>
  <c r="E15" i="43" s="1"/>
  <c r="AA380" i="15"/>
  <c r="F15" i="43" s="1"/>
  <c r="L100" i="24"/>
  <c r="BC12" i="24" s="1"/>
  <c r="L445" i="24"/>
  <c r="BC30" i="24" s="1"/>
  <c r="E540" i="24"/>
  <c r="O406" i="24"/>
  <c r="N406" i="24"/>
  <c r="BF28" i="24" s="1"/>
  <c r="Y193" i="15"/>
  <c r="Y259" i="15" s="1"/>
  <c r="D7" i="43" s="1"/>
  <c r="V193" i="15"/>
  <c r="V259" i="15" s="1"/>
  <c r="B7" i="43" s="1"/>
  <c r="AH177" i="15"/>
  <c r="N367" i="24"/>
  <c r="BF26" i="24" s="1"/>
  <c r="N177" i="24"/>
  <c r="BF16" i="24" s="1"/>
  <c r="Y159" i="15"/>
  <c r="O386" i="24"/>
  <c r="N100" i="24"/>
  <c r="BF12" i="24" s="1"/>
  <c r="O100" i="24"/>
  <c r="W157" i="24"/>
  <c r="Z541" i="24"/>
  <c r="K498" i="24"/>
  <c r="K460" i="24"/>
  <c r="D264" i="24"/>
  <c r="E264" i="24"/>
  <c r="K268" i="24"/>
  <c r="K344" i="24"/>
  <c r="K536" i="24"/>
  <c r="O521" i="24"/>
  <c r="M521" i="24"/>
  <c r="BI34" i="24" s="1"/>
  <c r="BH34" i="24" s="1"/>
  <c r="N521" i="24"/>
  <c r="BF34" i="24" s="1"/>
  <c r="BE34" i="24" s="1"/>
  <c r="D532" i="24"/>
  <c r="N445" i="24"/>
  <c r="BF30" i="24" s="1"/>
  <c r="O445" i="24"/>
  <c r="AK234" i="15"/>
  <c r="AO234" i="15"/>
  <c r="AN234" i="15"/>
  <c r="AM234" i="15"/>
  <c r="AP234" i="15"/>
  <c r="AL234" i="15"/>
  <c r="E482" i="24"/>
  <c r="D157" i="24"/>
  <c r="AH234" i="15"/>
  <c r="AB159" i="15"/>
  <c r="D53" i="24"/>
  <c r="X159" i="15"/>
  <c r="E290" i="24"/>
  <c r="AC193" i="15"/>
  <c r="AC259" i="15" s="1"/>
  <c r="H7" i="43" s="1"/>
  <c r="E53" i="24"/>
  <c r="AI234" i="15"/>
  <c r="AJ234" i="15"/>
  <c r="AR234" i="15"/>
  <c r="D137" i="24"/>
  <c r="BS194" i="15"/>
  <c r="X193" i="15"/>
  <c r="X259" i="15" s="1"/>
  <c r="C7" i="43"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118" i="24"/>
  <c r="AJ248" i="15"/>
  <c r="AI248" i="15"/>
  <c r="AH248" i="15"/>
  <c r="AI198" i="15"/>
  <c r="AH198" i="15"/>
  <c r="AJ198" i="15"/>
  <c r="D615" i="24"/>
  <c r="E111" i="24"/>
  <c r="D494" i="24"/>
  <c r="D252" i="24"/>
  <c r="E188" i="24"/>
  <c r="D188" i="24"/>
  <c r="E378" i="24"/>
  <c r="D378" i="24"/>
  <c r="D60" i="24"/>
  <c r="E494" i="24"/>
  <c r="E60" i="24"/>
  <c r="E226" i="24"/>
  <c r="D226" i="24"/>
  <c r="D80" i="24"/>
  <c r="E80" i="24"/>
  <c r="AA259" i="15"/>
  <c r="F7" i="43" s="1"/>
  <c r="AB259" i="15"/>
  <c r="G7" i="43" s="1"/>
  <c r="E478" i="24"/>
  <c r="E302" i="24"/>
  <c r="D478" i="24"/>
  <c r="E169" i="24"/>
  <c r="D233" i="24"/>
  <c r="D169" i="24"/>
  <c r="Z259" i="15"/>
  <c r="E7" i="43" s="1"/>
  <c r="E425" i="24"/>
  <c r="D405" i="24"/>
  <c r="D214" i="24"/>
  <c r="Q76" i="14"/>
  <c r="D463" i="24"/>
  <c r="E207" i="24"/>
  <c r="E437" i="24"/>
  <c r="D210" i="24"/>
  <c r="D118" i="24"/>
  <c r="D437" i="24"/>
  <c r="Q148" i="14"/>
  <c r="E245" i="24"/>
  <c r="D359" i="24"/>
  <c r="D245" i="24"/>
  <c r="D176" i="24"/>
  <c r="D366" i="24"/>
  <c r="E347" i="24"/>
  <c r="E328" i="24"/>
  <c r="E130" i="24"/>
  <c r="D309" i="24"/>
  <c r="D444" i="24"/>
  <c r="D340" i="24"/>
  <c r="E340" i="24"/>
  <c r="E385" i="24"/>
  <c r="L386" i="24" s="1"/>
  <c r="BC27" i="24" s="1"/>
  <c r="E397" i="24"/>
  <c r="D99" i="24"/>
  <c r="D397" i="24"/>
  <c r="D195" i="24"/>
  <c r="E92" i="24"/>
  <c r="D385" i="24"/>
  <c r="D321" i="24"/>
  <c r="D92" i="24"/>
  <c r="E456" i="24"/>
  <c r="D456" i="24"/>
  <c r="E321" i="24"/>
  <c r="D417" i="24"/>
  <c r="E417" i="24"/>
  <c r="H40" i="42" l="1"/>
  <c r="I21" i="42" s="1"/>
  <c r="I17" i="42"/>
  <c r="B229" i="45"/>
  <c r="B283" i="45"/>
  <c r="B238" i="45"/>
  <c r="P26" i="31"/>
  <c r="P17" i="31"/>
  <c r="I25" i="42"/>
  <c r="R18" i="31"/>
  <c r="Q18" i="31"/>
  <c r="R19" i="31"/>
  <c r="B269" i="45" s="1"/>
  <c r="Q19" i="31"/>
  <c r="B247" i="45" s="1"/>
  <c r="Q20" i="31"/>
  <c r="R20" i="31"/>
  <c r="R29" i="31"/>
  <c r="B279" i="45" s="1"/>
  <c r="Q29" i="31"/>
  <c r="R28" i="31"/>
  <c r="Q27" i="31"/>
  <c r="R27" i="31"/>
  <c r="B277" i="45" s="1"/>
  <c r="Q28" i="31"/>
  <c r="P34" i="31"/>
  <c r="AN489" i="34" a="1"/>
  <c r="AN489" i="34" s="1"/>
  <c r="H51" i="41"/>
  <c r="I49" i="41"/>
  <c r="B172" i="45" s="1"/>
  <c r="J49" i="41"/>
  <c r="B219" i="45" s="1"/>
  <c r="J25" i="41"/>
  <c r="B195" i="45" s="1"/>
  <c r="I25" i="41"/>
  <c r="B148" i="45" s="1"/>
  <c r="J23" i="41"/>
  <c r="B193" i="45" s="1"/>
  <c r="J17" i="41"/>
  <c r="B187" i="45" s="1"/>
  <c r="J16" i="41"/>
  <c r="B186" i="45" s="1"/>
  <c r="J42" i="41"/>
  <c r="B212" i="45" s="1"/>
  <c r="I40" i="41"/>
  <c r="B163" i="45" s="1"/>
  <c r="J40" i="41"/>
  <c r="B210" i="45" s="1"/>
  <c r="I42" i="41"/>
  <c r="B165" i="45" s="1"/>
  <c r="J41" i="41"/>
  <c r="B211" i="45" s="1"/>
  <c r="I41" i="41"/>
  <c r="B164" i="45" s="1"/>
  <c r="J38" i="41"/>
  <c r="B208" i="45" s="1"/>
  <c r="I38" i="41"/>
  <c r="B161" i="45" s="1"/>
  <c r="H46" i="41"/>
  <c r="AM507" i="34" s="1"/>
  <c r="J47" i="41"/>
  <c r="B217" i="45" s="1"/>
  <c r="I47" i="41"/>
  <c r="B170" i="45" s="1"/>
  <c r="J44" i="41"/>
  <c r="B214" i="45" s="1"/>
  <c r="I45" i="41"/>
  <c r="B168" i="45" s="1"/>
  <c r="I44" i="41"/>
  <c r="B167" i="45" s="1"/>
  <c r="J45" i="41"/>
  <c r="B215" i="45" s="1"/>
  <c r="I46" i="41"/>
  <c r="B169" i="45" s="1"/>
  <c r="J46" i="41"/>
  <c r="B216" i="45" s="1"/>
  <c r="J14" i="41"/>
  <c r="B184" i="45" s="1"/>
  <c r="J12" i="41"/>
  <c r="B182" i="45" s="1"/>
  <c r="J13" i="41"/>
  <c r="B183" i="45" s="1"/>
  <c r="I9" i="41"/>
  <c r="B132" i="45" s="1"/>
  <c r="J11" i="41"/>
  <c r="B181" i="45" s="1"/>
  <c r="I14" i="41"/>
  <c r="B137" i="45" s="1"/>
  <c r="I12" i="41"/>
  <c r="B135" i="45" s="1"/>
  <c r="I10" i="41"/>
  <c r="B134" i="45" s="1"/>
  <c r="I11" i="41"/>
  <c r="J10" i="41"/>
  <c r="B180" i="45" s="1"/>
  <c r="I13" i="41"/>
  <c r="B136" i="45" s="1"/>
  <c r="J9" i="41"/>
  <c r="B179" i="45" s="1"/>
  <c r="I51" i="41"/>
  <c r="B174" i="45" s="1"/>
  <c r="J20" i="41"/>
  <c r="B190" i="45" s="1"/>
  <c r="I20" i="41"/>
  <c r="B143" i="45" s="1"/>
  <c r="J19" i="41"/>
  <c r="B189" i="45" s="1"/>
  <c r="I19" i="41"/>
  <c r="B142" i="45" s="1"/>
  <c r="I18" i="41"/>
  <c r="B141" i="45" s="1"/>
  <c r="J18" i="41"/>
  <c r="B188" i="45" s="1"/>
  <c r="I23" i="41"/>
  <c r="B146" i="45" s="1"/>
  <c r="I17" i="41"/>
  <c r="B140" i="45" s="1"/>
  <c r="J51" i="41"/>
  <c r="B221" i="45" s="1"/>
  <c r="AN499" i="34"/>
  <c r="R30" i="31"/>
  <c r="B276" i="45" s="1"/>
  <c r="Q30" i="31"/>
  <c r="B278" i="45"/>
  <c r="R21" i="31"/>
  <c r="B267" i="45" s="1"/>
  <c r="Q21" i="31"/>
  <c r="B245" i="45" s="1"/>
  <c r="B246" i="45"/>
  <c r="B268" i="45"/>
  <c r="B248" i="45"/>
  <c r="B270" i="45"/>
  <c r="H536" i="24"/>
  <c r="E532" i="24"/>
  <c r="B235" i="45"/>
  <c r="B233" i="45"/>
  <c r="AJ34" i="24"/>
  <c r="AK34" i="24" s="1"/>
  <c r="G560" i="34" s="1"/>
  <c r="AK40" i="24"/>
  <c r="F545" i="34"/>
  <c r="F8" i="42"/>
  <c r="F560" i="34"/>
  <c r="L15" i="43"/>
  <c r="E560" i="34"/>
  <c r="O15" i="43"/>
  <c r="H560" i="34"/>
  <c r="AH541" i="24"/>
  <c r="K422" i="24"/>
  <c r="AL541" i="24"/>
  <c r="AL504" i="34"/>
  <c r="H40" i="41"/>
  <c r="AM501" i="34" s="1"/>
  <c r="H42" i="41"/>
  <c r="AM503" i="34" s="1"/>
  <c r="H41" i="41"/>
  <c r="AM502" i="34" s="1"/>
  <c r="H38" i="41"/>
  <c r="AM499" i="34" s="1"/>
  <c r="AL509" i="34"/>
  <c r="AP507" i="34" s="1"/>
  <c r="D508" i="34" s="1"/>
  <c r="H47" i="41"/>
  <c r="AM508" i="34" s="1"/>
  <c r="H45" i="41"/>
  <c r="AM506" i="34" s="1"/>
  <c r="H44" i="41"/>
  <c r="AM505" i="34" s="1"/>
  <c r="AL476" i="34"/>
  <c r="H14" i="41"/>
  <c r="AM475" i="34" s="1"/>
  <c r="H10" i="41"/>
  <c r="AM471" i="34" s="1"/>
  <c r="H13" i="41"/>
  <c r="AM474" i="34" s="1"/>
  <c r="H9" i="41"/>
  <c r="AM470" i="34" s="1"/>
  <c r="H12" i="41"/>
  <c r="AM473" i="34" s="1"/>
  <c r="H11" i="41"/>
  <c r="AM472" i="34" s="1"/>
  <c r="AN510" i="34"/>
  <c r="AP511" i="34"/>
  <c r="D511" i="34" s="1"/>
  <c r="AP510" i="34"/>
  <c r="D510" i="34" s="1"/>
  <c r="AL483" i="34"/>
  <c r="AP481" i="34" s="1"/>
  <c r="H20" i="41"/>
  <c r="AM481" i="34" s="1"/>
  <c r="H16" i="41"/>
  <c r="AM477" i="34" s="1"/>
  <c r="H17" i="41"/>
  <c r="AM478" i="34" s="1"/>
  <c r="H18" i="41"/>
  <c r="AM479" i="34" s="1"/>
  <c r="H19" i="41"/>
  <c r="AM480" i="34" s="1"/>
  <c r="AP484" i="34"/>
  <c r="D494" i="34" s="1"/>
  <c r="AP485" i="34"/>
  <c r="D495" i="34" s="1"/>
  <c r="AL514" i="34"/>
  <c r="AP512" i="34" s="1"/>
  <c r="D512" i="34" s="1"/>
  <c r="H49" i="41"/>
  <c r="AM510" i="34" s="1"/>
  <c r="AL488" i="34"/>
  <c r="AP486" i="34" s="1"/>
  <c r="D496" i="34" s="1"/>
  <c r="H23" i="41"/>
  <c r="AM484" i="34" s="1"/>
  <c r="H25" i="41"/>
  <c r="AM486" i="34" s="1"/>
  <c r="AP477" i="34"/>
  <c r="D490" i="34" s="1"/>
  <c r="AN484" i="34"/>
  <c r="AN505" i="34"/>
  <c r="AN477" i="34"/>
  <c r="S25" i="41"/>
  <c r="O491" i="34" s="1"/>
  <c r="S24" i="41"/>
  <c r="O490" i="34" s="1"/>
  <c r="S20" i="41"/>
  <c r="O486" i="34" s="1"/>
  <c r="S21" i="41"/>
  <c r="O487" i="34" s="1"/>
  <c r="S23" i="41"/>
  <c r="O489" i="34" s="1"/>
  <c r="S19" i="41"/>
  <c r="O485" i="34" s="1"/>
  <c r="AH17" i="24"/>
  <c r="J16" i="43" s="1"/>
  <c r="G54" i="41"/>
  <c r="AM482" i="34"/>
  <c r="AM513" i="34"/>
  <c r="AM511" i="34"/>
  <c r="AM487" i="34"/>
  <c r="AM500" i="34"/>
  <c r="AM512" i="34"/>
  <c r="AM485" i="34"/>
  <c r="AG17" i="24"/>
  <c r="AG34" i="24" s="1"/>
  <c r="M8" i="43"/>
  <c r="N8" i="43" s="1"/>
  <c r="G37" i="41"/>
  <c r="M20" i="43"/>
  <c r="N20" i="43" s="1"/>
  <c r="G123" i="34"/>
  <c r="B19" i="43"/>
  <c r="H123" i="34"/>
  <c r="C19" i="43"/>
  <c r="I123" i="34"/>
  <c r="D19" i="43"/>
  <c r="J123" i="34"/>
  <c r="E19" i="43"/>
  <c r="K123" i="34"/>
  <c r="F19" i="43"/>
  <c r="M21" i="43"/>
  <c r="N21" i="43" s="1"/>
  <c r="AJ422" i="24"/>
  <c r="AJ16" i="24" s="1"/>
  <c r="X406" i="24"/>
  <c r="X411" i="24" s="1"/>
  <c r="AD411" i="24" s="1"/>
  <c r="AT28" i="24" s="1"/>
  <c r="AG406" i="24"/>
  <c r="AG411" i="24" s="1"/>
  <c r="Z66" i="24"/>
  <c r="AE66" i="24" s="1"/>
  <c r="AU10" i="24" s="1"/>
  <c r="AK422" i="24"/>
  <c r="AK16" i="24" s="1"/>
  <c r="L123" i="34"/>
  <c r="G19" i="43"/>
  <c r="M123" i="34"/>
  <c r="H19" i="43"/>
  <c r="AB66" i="24"/>
  <c r="AF66" i="24" s="1"/>
  <c r="AV10" i="24" s="1"/>
  <c r="AI66" i="24"/>
  <c r="AG14" i="24"/>
  <c r="J7" i="43" s="1"/>
  <c r="AG422" i="24"/>
  <c r="M16" i="43"/>
  <c r="N16" i="43" s="1"/>
  <c r="E154" i="24"/>
  <c r="M158" i="24" s="1"/>
  <c r="BI15" i="24" s="1"/>
  <c r="M19" i="43"/>
  <c r="N19" i="43" s="1"/>
  <c r="M15" i="43"/>
  <c r="N15" i="43" s="1"/>
  <c r="M7" i="43"/>
  <c r="N7" i="43" s="1"/>
  <c r="AA382" i="15"/>
  <c r="AB382" i="15"/>
  <c r="AN14" i="24"/>
  <c r="L9" i="43" s="1"/>
  <c r="AN27" i="24"/>
  <c r="AO14" i="24"/>
  <c r="O9" i="43" s="1"/>
  <c r="AO27" i="24"/>
  <c r="AI27" i="24"/>
  <c r="W7" i="42" s="1"/>
  <c r="AI28" i="24"/>
  <c r="W6" i="42" s="1"/>
  <c r="L25" i="20"/>
  <c r="AG15" i="24"/>
  <c r="C8" i="42" s="1"/>
  <c r="I8" i="42" s="1"/>
  <c r="I33" i="42" s="1"/>
  <c r="AH27" i="24"/>
  <c r="V7" i="42" s="1"/>
  <c r="H196" i="24"/>
  <c r="AZ17" i="24" s="1"/>
  <c r="AG28" i="24"/>
  <c r="U6" i="42" s="1"/>
  <c r="AG192" i="24"/>
  <c r="AG27" i="24"/>
  <c r="U7" i="42" s="1"/>
  <c r="AB105" i="24"/>
  <c r="AF105" i="24" s="1"/>
  <c r="AV12" i="24" s="1"/>
  <c r="O158" i="24"/>
  <c r="N158" i="24"/>
  <c r="BF15" i="24" s="1"/>
  <c r="BE15" i="24" s="1"/>
  <c r="L158" i="24"/>
  <c r="BC15" i="24" s="1"/>
  <c r="BB15" i="24" s="1"/>
  <c r="H422" i="24"/>
  <c r="AB16" i="24" s="1"/>
  <c r="M56" i="16"/>
  <c r="BE12" i="24"/>
  <c r="M70" i="16"/>
  <c r="BE26" i="24"/>
  <c r="M72" i="16"/>
  <c r="BE28" i="24"/>
  <c r="M61" i="16"/>
  <c r="BE17" i="24"/>
  <c r="AL291" i="24"/>
  <c r="AL296" i="24" s="1"/>
  <c r="Z296" i="24"/>
  <c r="AE296" i="24" s="1"/>
  <c r="AU22" i="24" s="1"/>
  <c r="Z138" i="24"/>
  <c r="Z143" i="24"/>
  <c r="AE143" i="24" s="1"/>
  <c r="AU14" i="24" s="1"/>
  <c r="Z406" i="24"/>
  <c r="Z411" i="24"/>
  <c r="AE411" i="24" s="1"/>
  <c r="AU28" i="24" s="1"/>
  <c r="AZ16" i="24"/>
  <c r="BB16" i="24" s="1"/>
  <c r="E60" i="16" s="1"/>
  <c r="X450" i="24"/>
  <c r="AD450" i="24" s="1"/>
  <c r="AT30" i="24" s="1"/>
  <c r="AZ26" i="24"/>
  <c r="BB26" i="24" s="1"/>
  <c r="E70" i="16" s="1"/>
  <c r="AZ27" i="24"/>
  <c r="BB27" i="24" s="1"/>
  <c r="E71" i="16" s="1"/>
  <c r="Z464" i="24"/>
  <c r="Z469" i="24"/>
  <c r="AE469" i="24" s="1"/>
  <c r="AU31" i="24" s="1"/>
  <c r="AZ34" i="24"/>
  <c r="BB34" i="24" s="1"/>
  <c r="Z215" i="24"/>
  <c r="Z220" i="24"/>
  <c r="AE220" i="24" s="1"/>
  <c r="AU18" i="24" s="1"/>
  <c r="Z234" i="24"/>
  <c r="Z239" i="24"/>
  <c r="AE239" i="24" s="1"/>
  <c r="AU19" i="24" s="1"/>
  <c r="X220" i="24"/>
  <c r="AD220" i="24" s="1"/>
  <c r="AT18" i="24" s="1"/>
  <c r="M63" i="16"/>
  <c r="BE19" i="24"/>
  <c r="AZ28" i="24"/>
  <c r="BB28" i="24" s="1"/>
  <c r="Z445" i="24"/>
  <c r="Z450" i="24"/>
  <c r="AE450" i="24" s="1"/>
  <c r="AU30" i="24" s="1"/>
  <c r="Z502" i="24"/>
  <c r="Z507" i="24"/>
  <c r="AE507" i="24" s="1"/>
  <c r="AU33" i="24" s="1"/>
  <c r="AZ30" i="24"/>
  <c r="BB30" i="24" s="1"/>
  <c r="E74" i="16" s="1"/>
  <c r="Z253" i="24"/>
  <c r="Z258" i="24"/>
  <c r="AE258" i="24" s="1"/>
  <c r="AU20" i="24" s="1"/>
  <c r="X608" i="24"/>
  <c r="AD608" i="24" s="1"/>
  <c r="AT38" i="24" s="1"/>
  <c r="X526" i="24"/>
  <c r="AD526" i="24" s="1"/>
  <c r="AT34" i="24" s="1"/>
  <c r="X367" i="24"/>
  <c r="X372" i="24" s="1"/>
  <c r="AD372" i="24" s="1"/>
  <c r="AT26" i="24" s="1"/>
  <c r="M78" i="16"/>
  <c r="M74" i="16"/>
  <c r="BE30" i="24"/>
  <c r="M60" i="16"/>
  <c r="BE16" i="24"/>
  <c r="X386" i="24"/>
  <c r="X391" i="24" s="1"/>
  <c r="AD391" i="24" s="1"/>
  <c r="AT27" i="24" s="1"/>
  <c r="X100" i="24"/>
  <c r="X105" i="24" s="1"/>
  <c r="AD105" i="24" s="1"/>
  <c r="AT12" i="24" s="1"/>
  <c r="Z272" i="24"/>
  <c r="Z277" i="24"/>
  <c r="AE277" i="24" s="1"/>
  <c r="AU21" i="24" s="1"/>
  <c r="Z386" i="24"/>
  <c r="Z391" i="24"/>
  <c r="AE391" i="24" s="1"/>
  <c r="AU27" i="24" s="1"/>
  <c r="Z196" i="24"/>
  <c r="AC195" i="24" s="1"/>
  <c r="Z201" i="24"/>
  <c r="AE201" i="24" s="1"/>
  <c r="AU17" i="24" s="1"/>
  <c r="AM483" i="24"/>
  <c r="AM488" i="24" s="1"/>
  <c r="Z488" i="24"/>
  <c r="AE488" i="24" s="1"/>
  <c r="AU32" i="24" s="1"/>
  <c r="X119" i="24"/>
  <c r="X124" i="24" s="1"/>
  <c r="AD124" i="24" s="1"/>
  <c r="AT13" i="24" s="1"/>
  <c r="AZ12" i="24"/>
  <c r="BB12" i="24" s="1"/>
  <c r="L348" i="24"/>
  <c r="BC25" i="24" s="1"/>
  <c r="K63" i="20"/>
  <c r="E611" i="34" s="1"/>
  <c r="AI54" i="20"/>
  <c r="D611" i="34"/>
  <c r="O348" i="24"/>
  <c r="N348" i="24"/>
  <c r="E421" i="24"/>
  <c r="AH15" i="24"/>
  <c r="J12" i="43" s="1"/>
  <c r="AI15" i="24"/>
  <c r="J13" i="43" s="1"/>
  <c r="AM16" i="24"/>
  <c r="AI14" i="24"/>
  <c r="J9" i="43" s="1"/>
  <c r="AL16" i="24"/>
  <c r="AH57" i="24"/>
  <c r="AH61" i="24" s="1"/>
  <c r="AH66" i="24" s="1"/>
  <c r="AH14" i="24"/>
  <c r="J8" i="43" s="1"/>
  <c r="H253" i="24"/>
  <c r="AM234" i="24"/>
  <c r="AM239" i="24" s="1"/>
  <c r="X177" i="24"/>
  <c r="X182" i="24" s="1"/>
  <c r="AD182" i="24" s="1"/>
  <c r="AT16" i="24" s="1"/>
  <c r="H310" i="24"/>
  <c r="AZ23" i="24" s="1"/>
  <c r="Z177" i="24"/>
  <c r="AM329" i="24"/>
  <c r="AM334" i="24" s="1"/>
  <c r="AM119" i="24"/>
  <c r="AM124" i="24" s="1"/>
  <c r="AH81" i="24"/>
  <c r="AH86" i="24" s="1"/>
  <c r="AG287" i="24"/>
  <c r="AG291" i="24" s="1"/>
  <c r="AG296" i="24" s="1"/>
  <c r="AM310" i="24"/>
  <c r="AM315" i="24" s="1"/>
  <c r="AN628" i="24"/>
  <c r="AH234" i="24"/>
  <c r="AH239" i="24" s="1"/>
  <c r="L119" i="24"/>
  <c r="BC13" i="24" s="1"/>
  <c r="H119" i="24"/>
  <c r="AL310" i="24"/>
  <c r="AL315" i="24" s="1"/>
  <c r="L483" i="24"/>
  <c r="BC32" i="24" s="1"/>
  <c r="N483" i="24"/>
  <c r="BF32" i="24" s="1"/>
  <c r="Z119" i="24"/>
  <c r="AL234" i="24"/>
  <c r="AL239" i="24" s="1"/>
  <c r="AL119" i="24"/>
  <c r="AL124" i="24" s="1"/>
  <c r="AM215" i="24"/>
  <c r="AM220" i="24" s="1"/>
  <c r="AL81" i="24"/>
  <c r="AL86" i="24" s="1"/>
  <c r="O119" i="24"/>
  <c r="L138" i="24"/>
  <c r="BC14" i="24" s="1"/>
  <c r="N119" i="24"/>
  <c r="BF13" i="24" s="1"/>
  <c r="AO296" i="24"/>
  <c r="O215" i="24"/>
  <c r="O234" i="24"/>
  <c r="L215" i="24"/>
  <c r="BC18" i="24" s="1"/>
  <c r="AC115" i="24"/>
  <c r="N215" i="24"/>
  <c r="BF18" i="24" s="1"/>
  <c r="H348" i="24"/>
  <c r="Z521" i="24"/>
  <c r="W579" i="24"/>
  <c r="H215" i="24"/>
  <c r="AM81" i="24"/>
  <c r="AM86" i="24" s="1"/>
  <c r="AN220" i="24"/>
  <c r="L81" i="24"/>
  <c r="BC11" i="24" s="1"/>
  <c r="L61" i="24"/>
  <c r="BC10" i="24" s="1"/>
  <c r="AJ570" i="34" s="1"/>
  <c r="N310" i="24"/>
  <c r="BF23" i="24" s="1"/>
  <c r="AO220" i="24"/>
  <c r="L310" i="24"/>
  <c r="BC23" i="24" s="1"/>
  <c r="G67" i="16" s="1"/>
  <c r="N138" i="24"/>
  <c r="BF14" i="24" s="1"/>
  <c r="O483" i="24"/>
  <c r="E363" i="24"/>
  <c r="M367" i="24" s="1"/>
  <c r="BI26" i="24" s="1"/>
  <c r="AH119" i="24"/>
  <c r="AH124" i="24" s="1"/>
  <c r="O310" i="24"/>
  <c r="L196" i="24"/>
  <c r="BC17" i="24" s="1"/>
  <c r="W192" i="24"/>
  <c r="L329" i="24"/>
  <c r="BC24" i="24" s="1"/>
  <c r="E287" i="24"/>
  <c r="M291" i="24" s="1"/>
  <c r="BI22" i="24" s="1"/>
  <c r="W325" i="24"/>
  <c r="Z329" i="24"/>
  <c r="E517" i="24"/>
  <c r="S78" i="16" s="1"/>
  <c r="H329" i="24"/>
  <c r="AC287" i="24"/>
  <c r="X291" i="24"/>
  <c r="X296" i="24" s="1"/>
  <c r="AD296" i="24" s="1"/>
  <c r="AT22" i="24" s="1"/>
  <c r="N291" i="24"/>
  <c r="BF22" i="24" s="1"/>
  <c r="O291" i="24"/>
  <c r="Z291" i="24"/>
  <c r="H61" i="24"/>
  <c r="AZ10" i="24" s="1"/>
  <c r="AL253" i="24"/>
  <c r="AL258" i="24" s="1"/>
  <c r="AL215" i="24"/>
  <c r="AL220" i="24" s="1"/>
  <c r="H291" i="24"/>
  <c r="L234" i="24"/>
  <c r="BC19" i="24" s="1"/>
  <c r="AC363" i="24"/>
  <c r="AH310" i="24"/>
  <c r="AH315" i="24" s="1"/>
  <c r="Z310" i="24"/>
  <c r="AQ427" i="15"/>
  <c r="AC441" i="24"/>
  <c r="AI315" i="24"/>
  <c r="AO628" i="24"/>
  <c r="AL483" i="24"/>
  <c r="AL488" i="24" s="1"/>
  <c r="AH483" i="24"/>
  <c r="AH488" i="24" s="1"/>
  <c r="AO427" i="15"/>
  <c r="AK427" i="15"/>
  <c r="Z426" i="24"/>
  <c r="O253" i="24"/>
  <c r="L253" i="24"/>
  <c r="BC20" i="24" s="1"/>
  <c r="O61" i="24"/>
  <c r="AC382" i="24"/>
  <c r="AL177" i="24"/>
  <c r="AL182" i="24" s="1"/>
  <c r="AN296" i="24"/>
  <c r="AI211" i="24"/>
  <c r="AI220" i="24" s="1"/>
  <c r="AM253" i="24"/>
  <c r="AM258" i="24" s="1"/>
  <c r="AI296" i="24"/>
  <c r="AC173" i="24"/>
  <c r="AH253" i="24"/>
  <c r="AH258" i="24" s="1"/>
  <c r="AM177" i="24"/>
  <c r="AM182" i="24" s="1"/>
  <c r="AH211" i="24"/>
  <c r="AH215" i="24" s="1"/>
  <c r="AH220" i="24" s="1"/>
  <c r="AM138" i="24"/>
  <c r="AM143" i="24" s="1"/>
  <c r="AM196" i="24"/>
  <c r="AM201" i="24" s="1"/>
  <c r="N253" i="24"/>
  <c r="BF20" i="24" s="1"/>
  <c r="AL196" i="24"/>
  <c r="AL201" i="24" s="1"/>
  <c r="AL521" i="24"/>
  <c r="E77" i="24"/>
  <c r="AH138" i="24"/>
  <c r="AH143" i="24" s="1"/>
  <c r="AN526" i="24"/>
  <c r="AM521" i="24"/>
  <c r="AO239" i="24"/>
  <c r="AH192" i="24"/>
  <c r="AH196" i="24" s="1"/>
  <c r="AH201" i="24" s="1"/>
  <c r="AK215" i="24"/>
  <c r="AK220" i="24" s="1"/>
  <c r="W249" i="24"/>
  <c r="AJ119" i="24"/>
  <c r="AJ124" i="24" s="1"/>
  <c r="AG119" i="24"/>
  <c r="AG124" i="24" s="1"/>
  <c r="AK119" i="24"/>
  <c r="AK124" i="24" s="1"/>
  <c r="AK445" i="24"/>
  <c r="AK450" i="24" s="1"/>
  <c r="AJ445" i="24"/>
  <c r="AJ450" i="24" s="1"/>
  <c r="AG445" i="24"/>
  <c r="AG450" i="24" s="1"/>
  <c r="AM272" i="24"/>
  <c r="AM277" i="24" s="1"/>
  <c r="AH272" i="24"/>
  <c r="AH277" i="24" s="1"/>
  <c r="AL272" i="24"/>
  <c r="AL277" i="24" s="1"/>
  <c r="AJ215" i="24"/>
  <c r="AJ220" i="24" s="1"/>
  <c r="AN201" i="24"/>
  <c r="AO588" i="24"/>
  <c r="AN588" i="24"/>
  <c r="AI588" i="24"/>
  <c r="AJ100" i="24"/>
  <c r="AJ105" i="24" s="1"/>
  <c r="AJ603" i="24"/>
  <c r="AJ608" i="24" s="1"/>
  <c r="AL138" i="24"/>
  <c r="AL143" i="24" s="1"/>
  <c r="AI608" i="24"/>
  <c r="AO608" i="24"/>
  <c r="AN608" i="24"/>
  <c r="AM464" i="24"/>
  <c r="AM469" i="24" s="1"/>
  <c r="AH464" i="24"/>
  <c r="AH469" i="24" s="1"/>
  <c r="AL464" i="24"/>
  <c r="AL469" i="24" s="1"/>
  <c r="AI469" i="24"/>
  <c r="AO469" i="24"/>
  <c r="AN469" i="24"/>
  <c r="H272" i="24"/>
  <c r="AG521" i="24"/>
  <c r="AG526" i="24" s="1"/>
  <c r="AK521" i="24"/>
  <c r="AK526" i="24" s="1"/>
  <c r="AL406" i="24"/>
  <c r="AL411" i="24" s="1"/>
  <c r="AM406" i="24"/>
  <c r="AM411" i="24" s="1"/>
  <c r="AH406" i="24"/>
  <c r="AH411" i="24" s="1"/>
  <c r="AG211" i="24"/>
  <c r="AG215" i="24" s="1"/>
  <c r="AG220" i="24" s="1"/>
  <c r="AH177" i="24"/>
  <c r="AH182" i="24" s="1"/>
  <c r="AM291" i="24"/>
  <c r="AM296" i="24" s="1"/>
  <c r="AL100" i="24"/>
  <c r="AL105" i="24" s="1"/>
  <c r="AH100" i="24"/>
  <c r="AH105" i="24" s="1"/>
  <c r="AM100" i="24"/>
  <c r="AM105" i="24" s="1"/>
  <c r="Z100" i="24"/>
  <c r="AL623" i="24"/>
  <c r="AL628" i="24" s="1"/>
  <c r="AM623" i="24"/>
  <c r="AM628" i="24" s="1"/>
  <c r="AH623" i="24"/>
  <c r="AH628" i="24" s="1"/>
  <c r="Z623" i="24"/>
  <c r="Z348" i="24"/>
  <c r="AM348" i="24"/>
  <c r="AM353" i="24" s="1"/>
  <c r="AL348" i="24"/>
  <c r="AL353" i="24" s="1"/>
  <c r="AH348" i="24"/>
  <c r="AH353" i="24" s="1"/>
  <c r="X563" i="24"/>
  <c r="X568" i="24" s="1"/>
  <c r="AD568" i="24" s="1"/>
  <c r="AT36" i="24" s="1"/>
  <c r="AJ563" i="24"/>
  <c r="AJ568" i="24" s="1"/>
  <c r="AG563" i="24"/>
  <c r="AG568" i="24" s="1"/>
  <c r="AK563" i="24"/>
  <c r="AK568" i="24" s="1"/>
  <c r="AK406" i="24"/>
  <c r="AK411" i="24" s="1"/>
  <c r="AJ406" i="24"/>
  <c r="AJ411" i="24" s="1"/>
  <c r="AK483" i="24"/>
  <c r="AK488" i="24" s="1"/>
  <c r="AJ483" i="24"/>
  <c r="AJ488" i="24" s="1"/>
  <c r="AG483" i="24"/>
  <c r="AG488" i="24" s="1"/>
  <c r="AO124" i="24"/>
  <c r="AN124" i="24"/>
  <c r="AI124" i="24"/>
  <c r="AK100" i="24"/>
  <c r="AK105" i="24" s="1"/>
  <c r="H502" i="24"/>
  <c r="AI105" i="24"/>
  <c r="AO105" i="24"/>
  <c r="AN105" i="24"/>
  <c r="AO86" i="24"/>
  <c r="AN86" i="24"/>
  <c r="AI86" i="24"/>
  <c r="AK603" i="24"/>
  <c r="AK608" i="24" s="1"/>
  <c r="AN66" i="24"/>
  <c r="AO66" i="24"/>
  <c r="AN391" i="24"/>
  <c r="AI391" i="24"/>
  <c r="AO391" i="24"/>
  <c r="AN277" i="24"/>
  <c r="AI277" i="24"/>
  <c r="AO277" i="24"/>
  <c r="AI628" i="24"/>
  <c r="H464" i="24"/>
  <c r="AI450" i="24"/>
  <c r="AO450" i="24"/>
  <c r="AN450" i="24"/>
  <c r="AI526" i="24"/>
  <c r="H541" i="24"/>
  <c r="AC96" i="24"/>
  <c r="AI431" i="24"/>
  <c r="AO431" i="24"/>
  <c r="AN431" i="24"/>
  <c r="X623" i="24"/>
  <c r="X628" i="24" s="1"/>
  <c r="AD628" i="24" s="1"/>
  <c r="AT39" i="24" s="1"/>
  <c r="AG623" i="24"/>
  <c r="AG628" i="24" s="1"/>
  <c r="AK623" i="24"/>
  <c r="AK628" i="24" s="1"/>
  <c r="AJ623" i="24"/>
  <c r="AJ628" i="24" s="1"/>
  <c r="AG367" i="24"/>
  <c r="AG372" i="24" s="1"/>
  <c r="AK367" i="24"/>
  <c r="AK372" i="24" s="1"/>
  <c r="AJ367" i="24"/>
  <c r="AJ372" i="24" s="1"/>
  <c r="AI334" i="24"/>
  <c r="AO334" i="24"/>
  <c r="AN334" i="24"/>
  <c r="AL329" i="24"/>
  <c r="AL334" i="24" s="1"/>
  <c r="AN258" i="24"/>
  <c r="AI258" i="24"/>
  <c r="AO258" i="24"/>
  <c r="AM426" i="24"/>
  <c r="AM431" i="24" s="1"/>
  <c r="AH426" i="24"/>
  <c r="AH431" i="24" s="1"/>
  <c r="AL426" i="24"/>
  <c r="AL431" i="24" s="1"/>
  <c r="AH291" i="24"/>
  <c r="AH296" i="24" s="1"/>
  <c r="AG603" i="24"/>
  <c r="AG608" i="24" s="1"/>
  <c r="AO526" i="24"/>
  <c r="AH521" i="24"/>
  <c r="AH526" i="24" s="1"/>
  <c r="AN239" i="24"/>
  <c r="AI143" i="24"/>
  <c r="AO143" i="24"/>
  <c r="AN143" i="24"/>
  <c r="AM445" i="24"/>
  <c r="AM450" i="24" s="1"/>
  <c r="AH445" i="24"/>
  <c r="AH450" i="24" s="1"/>
  <c r="AL445" i="24"/>
  <c r="AL450" i="24" s="1"/>
  <c r="AM386" i="24"/>
  <c r="AM391" i="24" s="1"/>
  <c r="H563" i="24"/>
  <c r="H583" i="24"/>
  <c r="AN536" i="24"/>
  <c r="AG100" i="24"/>
  <c r="AG105" i="24" s="1"/>
  <c r="AO411" i="24"/>
  <c r="AN411" i="24"/>
  <c r="AL367" i="24"/>
  <c r="AL372" i="24" s="1"/>
  <c r="AH367" i="24"/>
  <c r="AH372" i="24" s="1"/>
  <c r="AM367" i="24"/>
  <c r="AM372" i="24" s="1"/>
  <c r="Z367" i="24"/>
  <c r="AJ291" i="24"/>
  <c r="AJ296" i="24" s="1"/>
  <c r="Z81" i="24"/>
  <c r="H158" i="24"/>
  <c r="AZ15" i="24" s="1"/>
  <c r="AN353" i="24"/>
  <c r="AN315" i="24"/>
  <c r="AI201" i="24"/>
  <c r="AC401" i="24"/>
  <c r="O81" i="24"/>
  <c r="H81" i="24"/>
  <c r="AG177" i="24"/>
  <c r="AG182" i="24" s="1"/>
  <c r="AK177" i="24"/>
  <c r="AK182" i="24" s="1"/>
  <c r="AJ177" i="24"/>
  <c r="AJ182" i="24" s="1"/>
  <c r="AK386" i="24"/>
  <c r="AK391" i="24" s="1"/>
  <c r="AJ386" i="24"/>
  <c r="AJ391" i="24" s="1"/>
  <c r="AG386" i="24"/>
  <c r="AG391" i="24" s="1"/>
  <c r="H483" i="24"/>
  <c r="Z583" i="24"/>
  <c r="AM583" i="24"/>
  <c r="AM588" i="24" s="1"/>
  <c r="AH583" i="24"/>
  <c r="AH588" i="24" s="1"/>
  <c r="AL583" i="24"/>
  <c r="AL588" i="24" s="1"/>
  <c r="AM603" i="24"/>
  <c r="AM608" i="24" s="1"/>
  <c r="AL603" i="24"/>
  <c r="AL608" i="24" s="1"/>
  <c r="AH603" i="24"/>
  <c r="AH608" i="24" s="1"/>
  <c r="Z603" i="24"/>
  <c r="AO201" i="24"/>
  <c r="AI353" i="24"/>
  <c r="AO507" i="24"/>
  <c r="AN507" i="24"/>
  <c r="AI507" i="24"/>
  <c r="AN182" i="24"/>
  <c r="AI182" i="24"/>
  <c r="AO182" i="24"/>
  <c r="Z563" i="24"/>
  <c r="AM563" i="24"/>
  <c r="AM568" i="24" s="1"/>
  <c r="AH563" i="24"/>
  <c r="AH568" i="24" s="1"/>
  <c r="AL563" i="24"/>
  <c r="AL568" i="24" s="1"/>
  <c r="AM61" i="24"/>
  <c r="AL61" i="24"/>
  <c r="Z61" i="24"/>
  <c r="H138" i="24"/>
  <c r="AO536" i="24"/>
  <c r="AH329" i="24"/>
  <c r="AH334" i="24" s="1"/>
  <c r="AJ521" i="24"/>
  <c r="AJ526" i="24" s="1"/>
  <c r="AH386" i="24"/>
  <c r="AH391" i="24" s="1"/>
  <c r="AL386" i="24"/>
  <c r="AL391" i="24" s="1"/>
  <c r="AL502" i="24"/>
  <c r="AL507" i="24" s="1"/>
  <c r="AH502" i="24"/>
  <c r="AH507" i="24" s="1"/>
  <c r="AM502" i="24"/>
  <c r="AM507" i="24" s="1"/>
  <c r="H234" i="24"/>
  <c r="AI372" i="24"/>
  <c r="AO372" i="24"/>
  <c r="AN372" i="24"/>
  <c r="AK291" i="24"/>
  <c r="AK296" i="24" s="1"/>
  <c r="AO353" i="24"/>
  <c r="AO315" i="24"/>
  <c r="AI239" i="24"/>
  <c r="X483" i="24"/>
  <c r="X488" i="24" s="1"/>
  <c r="AD488" i="24" s="1"/>
  <c r="AT32" i="24" s="1"/>
  <c r="AC479" i="24"/>
  <c r="W230" i="24"/>
  <c r="W268" i="24"/>
  <c r="W460" i="24"/>
  <c r="W134" i="24"/>
  <c r="W498" i="24"/>
  <c r="W422" i="24"/>
  <c r="W77" i="24"/>
  <c r="W306" i="24"/>
  <c r="W344" i="24"/>
  <c r="W57" i="24"/>
  <c r="AG61" i="24" s="1"/>
  <c r="AG66" i="24" s="1"/>
  <c r="AA154" i="24"/>
  <c r="AB163" i="24" s="1"/>
  <c r="AF163" i="24" s="1"/>
  <c r="AV15" i="24" s="1"/>
  <c r="Y154" i="24"/>
  <c r="Z163" i="24" s="1"/>
  <c r="AE163" i="24" s="1"/>
  <c r="AU15" i="24" s="1"/>
  <c r="W154" i="24"/>
  <c r="O464" i="24"/>
  <c r="AQ380" i="15"/>
  <c r="AQ457" i="15" s="1"/>
  <c r="AH457" i="15"/>
  <c r="G380" i="34"/>
  <c r="G78" i="16"/>
  <c r="G71" i="16"/>
  <c r="G70" i="16"/>
  <c r="G74" i="16"/>
  <c r="G72" i="16"/>
  <c r="G321" i="34"/>
  <c r="L321" i="34"/>
  <c r="H321" i="34"/>
  <c r="D560" i="34"/>
  <c r="I321" i="34"/>
  <c r="K321" i="34"/>
  <c r="M321" i="34"/>
  <c r="J321" i="34"/>
  <c r="AR380" i="15"/>
  <c r="AR457" i="15" s="1"/>
  <c r="D25" i="16"/>
  <c r="AJ380" i="15"/>
  <c r="AM380" i="15"/>
  <c r="AM457" i="15" s="1"/>
  <c r="AP427" i="15"/>
  <c r="AL380" i="15"/>
  <c r="AL457" i="15" s="1"/>
  <c r="AJ427" i="15"/>
  <c r="AL427" i="15"/>
  <c r="AI380" i="15"/>
  <c r="AM427" i="15"/>
  <c r="N81" i="24"/>
  <c r="BF11" i="24" s="1"/>
  <c r="AI427" i="15"/>
  <c r="AM159" i="15"/>
  <c r="E460" i="24"/>
  <c r="AN427" i="15"/>
  <c r="AR427" i="15"/>
  <c r="W536" i="24"/>
  <c r="M541" i="24"/>
  <c r="BI35" i="24" s="1"/>
  <c r="BH35" i="24" s="1"/>
  <c r="AI159" i="15"/>
  <c r="AN380" i="15"/>
  <c r="AN457" i="15" s="1"/>
  <c r="AP380" i="15"/>
  <c r="C35" i="16"/>
  <c r="AK380" i="15"/>
  <c r="AK457" i="15" s="1"/>
  <c r="AH159" i="15"/>
  <c r="AO159" i="15"/>
  <c r="B35" i="16"/>
  <c r="AO380" i="15"/>
  <c r="AO457" i="15" s="1"/>
  <c r="AR159" i="15"/>
  <c r="AJ159" i="15"/>
  <c r="F35" i="16"/>
  <c r="E479" i="24"/>
  <c r="M483" i="24" s="1"/>
  <c r="BI32" i="24" s="1"/>
  <c r="AN159" i="15"/>
  <c r="AL159" i="15"/>
  <c r="M464" i="24"/>
  <c r="BI31" i="24" s="1"/>
  <c r="AQ159" i="15"/>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26" i="24"/>
  <c r="E344" i="24"/>
  <c r="O502" i="24"/>
  <c r="N502" i="24"/>
  <c r="BF33" i="24" s="1"/>
  <c r="L502" i="24"/>
  <c r="BC33" i="24" s="1"/>
  <c r="N541" i="24"/>
  <c r="BF35" i="24" s="1"/>
  <c r="L464" i="24"/>
  <c r="BC31" i="24" s="1"/>
  <c r="BF25" i="24"/>
  <c r="L541" i="24"/>
  <c r="BC35" i="24" s="1"/>
  <c r="E268" i="24"/>
  <c r="AC517" i="24"/>
  <c r="L272" i="24"/>
  <c r="BC21" i="24" s="1"/>
  <c r="M272" i="24"/>
  <c r="BI21" i="24" s="1"/>
  <c r="O272" i="24"/>
  <c r="O541" i="24"/>
  <c r="N464" i="24"/>
  <c r="BF31" i="24" s="1"/>
  <c r="N272" i="24"/>
  <c r="BF21" i="24" s="1"/>
  <c r="L291" i="24"/>
  <c r="BC22" i="24" s="1"/>
  <c r="E536" i="24"/>
  <c r="AC211" i="24"/>
  <c r="M81" i="24"/>
  <c r="BI11" i="24" s="1"/>
  <c r="L426" i="24"/>
  <c r="BC29" i="24" s="1"/>
  <c r="N426" i="24"/>
  <c r="BF29" i="24" s="1"/>
  <c r="N386" i="24"/>
  <c r="BF27" i="24" s="1"/>
  <c r="E57" i="24"/>
  <c r="N329" i="24"/>
  <c r="BF24" i="24" s="1"/>
  <c r="N61" i="24"/>
  <c r="BF10" i="24" s="1"/>
  <c r="BE10" i="24" s="1"/>
  <c r="E211" i="24"/>
  <c r="M215" i="24" s="1"/>
  <c r="BI18" i="24" s="1"/>
  <c r="E306" i="24"/>
  <c r="E192" i="24"/>
  <c r="M196" i="24" s="1"/>
  <c r="BI17" i="24" s="1"/>
  <c r="E498" i="24"/>
  <c r="M502" i="24" s="1"/>
  <c r="BI33" i="24"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115" i="24"/>
  <c r="E173" i="24"/>
  <c r="M177" i="24" s="1"/>
  <c r="BI16" i="24" s="1"/>
  <c r="E382" i="24"/>
  <c r="M386" i="24" s="1"/>
  <c r="BI27" i="24" s="1"/>
  <c r="E230" i="24"/>
  <c r="E249" i="24"/>
  <c r="M253" i="24" s="1"/>
  <c r="BI20" i="24" s="1"/>
  <c r="E441" i="24"/>
  <c r="M445" i="24" s="1"/>
  <c r="BI30" i="24" s="1"/>
  <c r="E134" i="24"/>
  <c r="E401" i="24"/>
  <c r="M406" i="24" s="1"/>
  <c r="BI28" i="24" s="1"/>
  <c r="E96" i="24"/>
  <c r="AD380" i="15"/>
  <c r="R91" i="16"/>
  <c r="E325" i="24"/>
  <c r="R87" i="16"/>
  <c r="G60" i="16"/>
  <c r="R85" i="16"/>
  <c r="R83" i="16"/>
  <c r="G56" i="16"/>
  <c r="Q237" i="14"/>
  <c r="Q236" i="14" s="1"/>
  <c r="B294" i="45" l="1"/>
  <c r="J31" i="42"/>
  <c r="K29" i="42"/>
  <c r="K30" i="42"/>
  <c r="J28" i="42"/>
  <c r="J27" i="42"/>
  <c r="K27" i="42"/>
  <c r="K28" i="42"/>
  <c r="K33" i="42"/>
  <c r="K32" i="42"/>
  <c r="J32" i="42"/>
  <c r="J29" i="42"/>
  <c r="K31" i="42"/>
  <c r="K26" i="42"/>
  <c r="J30" i="42"/>
  <c r="J26" i="42"/>
  <c r="J33" i="42"/>
  <c r="I36" i="42"/>
  <c r="R13" i="31"/>
  <c r="Q13" i="31"/>
  <c r="Q15" i="31"/>
  <c r="R15" i="31"/>
  <c r="B265" i="45" s="1"/>
  <c r="Q14" i="31"/>
  <c r="Q16" i="31"/>
  <c r="B244" i="45" s="1"/>
  <c r="R14" i="31"/>
  <c r="B264" i="45" s="1"/>
  <c r="R16" i="31"/>
  <c r="B266" i="45" s="1"/>
  <c r="J25" i="42"/>
  <c r="B293" i="45"/>
  <c r="J24" i="42"/>
  <c r="K23" i="42"/>
  <c r="J22" i="42"/>
  <c r="K22" i="42"/>
  <c r="J23" i="42"/>
  <c r="K25" i="42"/>
  <c r="K24" i="42"/>
  <c r="R24" i="31"/>
  <c r="R25" i="31"/>
  <c r="B275" i="45" s="1"/>
  <c r="R23" i="31"/>
  <c r="R22" i="31"/>
  <c r="Q22" i="31"/>
  <c r="Q24" i="31"/>
  <c r="B252" i="45" s="1"/>
  <c r="Q25" i="31"/>
  <c r="Q23" i="31"/>
  <c r="K15" i="42"/>
  <c r="B290" i="45"/>
  <c r="J17" i="42"/>
  <c r="K16" i="42"/>
  <c r="J16" i="42"/>
  <c r="J15" i="42"/>
  <c r="K17" i="42"/>
  <c r="J21" i="42"/>
  <c r="B292" i="45"/>
  <c r="K21" i="42"/>
  <c r="I14" i="42"/>
  <c r="B288" i="45" s="1"/>
  <c r="I41" i="42"/>
  <c r="R32" i="31"/>
  <c r="Q32" i="31"/>
  <c r="R31" i="31"/>
  <c r="Q33" i="31"/>
  <c r="R33" i="31"/>
  <c r="Q31" i="31"/>
  <c r="B255" i="45" s="1"/>
  <c r="I38" i="42"/>
  <c r="I19" i="42"/>
  <c r="K20" i="42"/>
  <c r="J20" i="42"/>
  <c r="B328" i="45"/>
  <c r="B302" i="45"/>
  <c r="J27" i="41"/>
  <c r="B192" i="45" s="1"/>
  <c r="H53" i="41"/>
  <c r="B125" i="45" s="1"/>
  <c r="H22" i="41"/>
  <c r="B120" i="45" s="1"/>
  <c r="J15" i="41"/>
  <c r="B178" i="45" s="1"/>
  <c r="I43" i="41"/>
  <c r="B160" i="45" s="1"/>
  <c r="I53" i="41"/>
  <c r="B171" i="45" s="1"/>
  <c r="J37" i="41"/>
  <c r="B197" i="45" s="1"/>
  <c r="I37" i="41"/>
  <c r="B150" i="45" s="1"/>
  <c r="H37" i="41"/>
  <c r="B122" i="45" s="1"/>
  <c r="J31" i="41"/>
  <c r="B201" i="45" s="1"/>
  <c r="I29" i="41"/>
  <c r="B152" i="45" s="1"/>
  <c r="I31" i="41"/>
  <c r="B154" i="45" s="1"/>
  <c r="J29" i="41"/>
  <c r="B199" i="45" s="1"/>
  <c r="I32" i="41"/>
  <c r="B155" i="45" s="1"/>
  <c r="I30" i="41"/>
  <c r="B153" i="45" s="1"/>
  <c r="J32" i="41"/>
  <c r="B202" i="45" s="1"/>
  <c r="J30" i="41"/>
  <c r="B200" i="45" s="1"/>
  <c r="I36" i="41"/>
  <c r="B159" i="45" s="1"/>
  <c r="I35" i="41"/>
  <c r="B158" i="45" s="1"/>
  <c r="I28" i="41"/>
  <c r="B151" i="45" s="1"/>
  <c r="J36" i="41"/>
  <c r="B206" i="45" s="1"/>
  <c r="J35" i="41"/>
  <c r="B205" i="45" s="1"/>
  <c r="J28" i="41"/>
  <c r="B198" i="45" s="1"/>
  <c r="I34" i="41"/>
  <c r="B157" i="45" s="1"/>
  <c r="I33" i="41"/>
  <c r="B156" i="45" s="1"/>
  <c r="J34" i="41"/>
  <c r="B204" i="45" s="1"/>
  <c r="B203" i="45"/>
  <c r="AP506" i="34"/>
  <c r="D507" i="34" s="1"/>
  <c r="I22" i="41"/>
  <c r="B138" i="45" s="1"/>
  <c r="H15" i="41"/>
  <c r="B119" i="45" s="1"/>
  <c r="J48" i="41"/>
  <c r="B213" i="45" s="1"/>
  <c r="H43" i="41"/>
  <c r="B123" i="45" s="1"/>
  <c r="I27" i="41"/>
  <c r="B145" i="45" s="1"/>
  <c r="J22" i="41"/>
  <c r="B185" i="45" s="1"/>
  <c r="I15" i="41"/>
  <c r="B131" i="45" s="1"/>
  <c r="J53" i="41"/>
  <c r="B218" i="45" s="1"/>
  <c r="H48" i="41"/>
  <c r="B124" i="45" s="1"/>
  <c r="H27" i="41"/>
  <c r="B121" i="45" s="1"/>
  <c r="I48" i="41"/>
  <c r="B166" i="45" s="1"/>
  <c r="J43" i="41"/>
  <c r="B207" i="45" s="1"/>
  <c r="B263" i="45"/>
  <c r="B231" i="45"/>
  <c r="B241" i="45"/>
  <c r="Q17" i="31"/>
  <c r="B240" i="45" s="1"/>
  <c r="B243" i="45"/>
  <c r="R17" i="31"/>
  <c r="B262" i="45" s="1"/>
  <c r="B242" i="45"/>
  <c r="AP480" i="34"/>
  <c r="Q26" i="31"/>
  <c r="B249" i="45" s="1"/>
  <c r="R26" i="31"/>
  <c r="B271" i="45" s="1"/>
  <c r="B274" i="45"/>
  <c r="B272" i="45"/>
  <c r="B250" i="45"/>
  <c r="B253" i="45"/>
  <c r="B273" i="45"/>
  <c r="B251" i="45"/>
  <c r="R34" i="31"/>
  <c r="Q34" i="31"/>
  <c r="B256" i="45"/>
  <c r="B257" i="45"/>
  <c r="AP505" i="34"/>
  <c r="D506" i="34" s="1"/>
  <c r="G545" i="34"/>
  <c r="G8" i="42"/>
  <c r="AP508" i="34"/>
  <c r="J15" i="43"/>
  <c r="C560" i="34"/>
  <c r="AP482" i="34"/>
  <c r="AP478" i="34"/>
  <c r="D491" i="34" s="1"/>
  <c r="AP479" i="34"/>
  <c r="D492" i="34" s="1"/>
  <c r="AP513" i="34"/>
  <c r="D513" i="34" s="1"/>
  <c r="AP487" i="34"/>
  <c r="AL498" i="34"/>
  <c r="H35" i="41"/>
  <c r="AM496" i="34" s="1"/>
  <c r="H30" i="41"/>
  <c r="AM491" i="34" s="1"/>
  <c r="H31" i="41"/>
  <c r="AM492" i="34" s="1"/>
  <c r="H29" i="41"/>
  <c r="AM490" i="34" s="1"/>
  <c r="H36" i="41"/>
  <c r="AM497" i="34" s="1"/>
  <c r="H33" i="41"/>
  <c r="AM494" i="34" s="1"/>
  <c r="H32" i="41"/>
  <c r="AM493" i="34" s="1"/>
  <c r="H28" i="41"/>
  <c r="AM489" i="34" s="1"/>
  <c r="H34" i="41"/>
  <c r="AM495" i="34" s="1"/>
  <c r="AP472" i="34"/>
  <c r="D488" i="34" s="1"/>
  <c r="AP471" i="34"/>
  <c r="D487" i="34" s="1"/>
  <c r="AP474" i="34"/>
  <c r="AP470" i="34"/>
  <c r="D486" i="34" s="1"/>
  <c r="AP473" i="34"/>
  <c r="AP475" i="34"/>
  <c r="AP502" i="34"/>
  <c r="AP500" i="34"/>
  <c r="D503" i="34" s="1"/>
  <c r="AP503" i="34"/>
  <c r="AP501" i="34"/>
  <c r="D504" i="34" s="1"/>
  <c r="BB23" i="24"/>
  <c r="E67" i="16" s="1"/>
  <c r="S22" i="41"/>
  <c r="O488" i="34" s="1"/>
  <c r="J11" i="43"/>
  <c r="C545" i="34"/>
  <c r="M348" i="24"/>
  <c r="BI25" i="24" s="1"/>
  <c r="M9" i="43"/>
  <c r="N9" i="43" s="1"/>
  <c r="H426" i="24"/>
  <c r="AZ29" i="24" s="1"/>
  <c r="E422" i="24"/>
  <c r="BB17" i="24"/>
  <c r="AJ577" i="34" s="1"/>
  <c r="V83" i="16"/>
  <c r="E56" i="16"/>
  <c r="E72" i="16"/>
  <c r="V91" i="16"/>
  <c r="BB10" i="24"/>
  <c r="AJ589" i="34"/>
  <c r="BB29" i="24"/>
  <c r="E73" i="16" s="1"/>
  <c r="R94" i="16"/>
  <c r="V87" i="16"/>
  <c r="AJ586" i="34"/>
  <c r="AJ576" i="34"/>
  <c r="AJ590" i="34"/>
  <c r="AJ587" i="34"/>
  <c r="AJ572" i="34"/>
  <c r="S60" i="16"/>
  <c r="BH16" i="24"/>
  <c r="S55" i="16"/>
  <c r="S75" i="16"/>
  <c r="AK61" i="24"/>
  <c r="AK66" i="24" s="1"/>
  <c r="AJ138" i="24"/>
  <c r="AJ143" i="24" s="1"/>
  <c r="AZ21" i="24"/>
  <c r="BB21" i="24" s="1"/>
  <c r="AZ22" i="24"/>
  <c r="BB22" i="24" s="1"/>
  <c r="E66" i="16" s="1"/>
  <c r="M58" i="16"/>
  <c r="BE14" i="24"/>
  <c r="M67" i="16"/>
  <c r="BE23" i="24"/>
  <c r="AZ25" i="24"/>
  <c r="BB25" i="24" s="1"/>
  <c r="M76" i="16"/>
  <c r="BE32" i="24"/>
  <c r="S62" i="16"/>
  <c r="M65" i="16"/>
  <c r="BE21" i="24"/>
  <c r="AC344" i="24"/>
  <c r="AC460" i="24"/>
  <c r="AZ19" i="24"/>
  <c r="BB19" i="24" s="1"/>
  <c r="E63" i="16" s="1"/>
  <c r="AZ33" i="24"/>
  <c r="BB33" i="24" s="1"/>
  <c r="M64" i="16"/>
  <c r="AG196" i="24"/>
  <c r="AG201" i="24" s="1"/>
  <c r="S70" i="16"/>
  <c r="BH26" i="24"/>
  <c r="BH15" i="24"/>
  <c r="AZ18" i="24"/>
  <c r="BB18" i="24" s="1"/>
  <c r="E62" i="16" s="1"/>
  <c r="M62" i="16"/>
  <c r="BE18" i="24"/>
  <c r="E78" i="16"/>
  <c r="AJ594" i="34"/>
  <c r="AJ588" i="34"/>
  <c r="S64" i="16"/>
  <c r="BH20" i="24"/>
  <c r="M71" i="16"/>
  <c r="BE27" i="24"/>
  <c r="S65" i="16"/>
  <c r="BH21" i="24"/>
  <c r="S61" i="16"/>
  <c r="BH17" i="24"/>
  <c r="M54" i="16"/>
  <c r="M73" i="16"/>
  <c r="BE29" i="24"/>
  <c r="M75" i="16"/>
  <c r="BE31" i="24"/>
  <c r="M69" i="16"/>
  <c r="BE25" i="24"/>
  <c r="M77" i="16"/>
  <c r="BE33" i="24"/>
  <c r="AC422" i="24"/>
  <c r="X272" i="24"/>
  <c r="X277" i="24" s="1"/>
  <c r="AD277" i="24" s="1"/>
  <c r="AT21" i="24" s="1"/>
  <c r="AZ35" i="24"/>
  <c r="BB35" i="24" s="1"/>
  <c r="AJ595" i="34" s="1"/>
  <c r="X329" i="24"/>
  <c r="X334" i="24" s="1"/>
  <c r="AD334" i="24" s="1"/>
  <c r="AT24" i="24" s="1"/>
  <c r="AJ583" i="24"/>
  <c r="AJ588" i="24" s="1"/>
  <c r="AZ20" i="24"/>
  <c r="BB20" i="24" s="1"/>
  <c r="AJ580" i="34" s="1"/>
  <c r="S77" i="16"/>
  <c r="BH33" i="24"/>
  <c r="S72" i="16"/>
  <c r="BH28" i="24"/>
  <c r="S74" i="16"/>
  <c r="BH30" i="24"/>
  <c r="S71" i="16"/>
  <c r="BH27" i="24"/>
  <c r="M68" i="16"/>
  <c r="BE24" i="24"/>
  <c r="S76" i="16"/>
  <c r="M55" i="16"/>
  <c r="BE11" i="24"/>
  <c r="AK310" i="24"/>
  <c r="AK315" i="24" s="1"/>
  <c r="AC498" i="24"/>
  <c r="AG234" i="24"/>
  <c r="AG239" i="24" s="1"/>
  <c r="AZ32" i="24"/>
  <c r="BB32" i="24" s="1"/>
  <c r="V94" i="16" s="1"/>
  <c r="AZ31" i="24"/>
  <c r="BB31" i="24" s="1"/>
  <c r="S66" i="16"/>
  <c r="M66" i="16"/>
  <c r="BE22" i="24"/>
  <c r="AZ24" i="24"/>
  <c r="BB24" i="24" s="1"/>
  <c r="V90" i="16" s="1"/>
  <c r="M57" i="16"/>
  <c r="BE13" i="24"/>
  <c r="AZ14" i="24"/>
  <c r="BB14" i="24" s="1"/>
  <c r="AJ574" i="34" s="1"/>
  <c r="AZ13" i="24"/>
  <c r="BB13" i="24" s="1"/>
  <c r="E57" i="16" s="1"/>
  <c r="AZ11" i="24"/>
  <c r="BB11" i="24" s="1"/>
  <c r="L63" i="20"/>
  <c r="AL526" i="24"/>
  <c r="AM526" i="24"/>
  <c r="M426" i="24"/>
  <c r="BI29" i="24" s="1"/>
  <c r="AO16" i="24"/>
  <c r="AO545" i="24"/>
  <c r="AN16" i="24"/>
  <c r="AN545" i="24"/>
  <c r="AH16" i="24"/>
  <c r="E54" i="16"/>
  <c r="AI16" i="24"/>
  <c r="AG16" i="24"/>
  <c r="G61" i="16"/>
  <c r="R88" i="16"/>
  <c r="G76" i="16"/>
  <c r="G62" i="16"/>
  <c r="G63" i="16"/>
  <c r="AJ583" i="34"/>
  <c r="G58" i="16"/>
  <c r="AK583" i="24"/>
  <c r="AK588" i="24" s="1"/>
  <c r="AG583" i="24"/>
  <c r="AG588" i="24" s="1"/>
  <c r="X196" i="24"/>
  <c r="X201" i="24" s="1"/>
  <c r="AD201" i="24" s="1"/>
  <c r="AT17" i="24" s="1"/>
  <c r="AJ196" i="24"/>
  <c r="AJ201" i="24" s="1"/>
  <c r="X583" i="24"/>
  <c r="X588" i="24" s="1"/>
  <c r="AD588" i="24" s="1"/>
  <c r="AT37" i="24" s="1"/>
  <c r="AC192" i="24"/>
  <c r="AK196" i="24"/>
  <c r="AK201" i="24" s="1"/>
  <c r="AG329" i="24"/>
  <c r="AG334" i="24" s="1"/>
  <c r="X502" i="24"/>
  <c r="X507" i="24" s="1"/>
  <c r="AD507" i="24" s="1"/>
  <c r="AT33" i="24" s="1"/>
  <c r="AK329" i="24"/>
  <c r="AK334" i="24" s="1"/>
  <c r="AC325" i="24"/>
  <c r="AJ329" i="24"/>
  <c r="AJ334" i="24" s="1"/>
  <c r="G64" i="16"/>
  <c r="AO451" i="15"/>
  <c r="R89" i="16"/>
  <c r="AM66" i="24"/>
  <c r="AL66" i="24"/>
  <c r="AM158" i="24"/>
  <c r="AM163" i="24" s="1"/>
  <c r="AH158" i="24"/>
  <c r="AH163" i="24" s="1"/>
  <c r="AL158" i="24"/>
  <c r="AL163" i="24" s="1"/>
  <c r="X348" i="24"/>
  <c r="X353" i="24" s="1"/>
  <c r="AD353" i="24" s="1"/>
  <c r="AT25" i="24" s="1"/>
  <c r="AG348" i="24"/>
  <c r="AG353" i="24" s="1"/>
  <c r="AJ81" i="24"/>
  <c r="AJ86" i="24" s="1"/>
  <c r="AG81" i="24"/>
  <c r="AG86" i="24" s="1"/>
  <c r="AK81" i="24"/>
  <c r="AK86" i="24" s="1"/>
  <c r="AJ502" i="24"/>
  <c r="AJ507" i="24" s="1"/>
  <c r="AK502" i="24"/>
  <c r="AK507" i="24" s="1"/>
  <c r="AG502" i="24"/>
  <c r="AG507" i="24" s="1"/>
  <c r="X464" i="24"/>
  <c r="X469" i="24" s="1"/>
  <c r="AD469" i="24" s="1"/>
  <c r="AT31" i="24" s="1"/>
  <c r="AK464" i="24"/>
  <c r="AK469" i="24" s="1"/>
  <c r="AJ464" i="24"/>
  <c r="AJ469" i="24" s="1"/>
  <c r="AG464" i="24"/>
  <c r="AG469" i="24" s="1"/>
  <c r="AJ61" i="24"/>
  <c r="AJ66" i="24" s="1"/>
  <c r="AG138" i="24"/>
  <c r="AG143" i="24" s="1"/>
  <c r="AK138" i="24"/>
  <c r="AK143" i="24" s="1"/>
  <c r="AN163" i="24"/>
  <c r="AO163" i="24"/>
  <c r="AI163" i="24"/>
  <c r="AK348" i="24"/>
  <c r="AK353" i="24" s="1"/>
  <c r="AJ310" i="24"/>
  <c r="AJ315" i="24" s="1"/>
  <c r="AG310" i="24"/>
  <c r="AG315" i="24" s="1"/>
  <c r="X426" i="24"/>
  <c r="X431" i="24" s="1"/>
  <c r="AD431" i="24" s="1"/>
  <c r="AT29" i="24" s="1"/>
  <c r="AG426" i="24"/>
  <c r="AK426" i="24"/>
  <c r="AJ426" i="24"/>
  <c r="AG272" i="24"/>
  <c r="AG277" i="24" s="1"/>
  <c r="AK272" i="24"/>
  <c r="AK277" i="24" s="1"/>
  <c r="AJ272" i="24"/>
  <c r="AJ277" i="24" s="1"/>
  <c r="AJ234" i="24"/>
  <c r="AJ239" i="24" s="1"/>
  <c r="AK234" i="24"/>
  <c r="AK239" i="24" s="1"/>
  <c r="AJ253" i="24"/>
  <c r="AJ258" i="24" s="1"/>
  <c r="AC249" i="24"/>
  <c r="X253" i="24"/>
  <c r="X258" i="24" s="1"/>
  <c r="AD258" i="24" s="1"/>
  <c r="AT20" i="24" s="1"/>
  <c r="AG253" i="24"/>
  <c r="AG258" i="24" s="1"/>
  <c r="AK253" i="24"/>
  <c r="AK258" i="24" s="1"/>
  <c r="X541" i="24"/>
  <c r="X545" i="24" s="1"/>
  <c r="AD545" i="24" s="1"/>
  <c r="AT35" i="24" s="1"/>
  <c r="AK541" i="24"/>
  <c r="AJ541" i="24"/>
  <c r="X158" i="24"/>
  <c r="X163" i="24" s="1"/>
  <c r="AD163" i="24" s="1"/>
  <c r="AT15" i="24" s="1"/>
  <c r="AK158" i="24"/>
  <c r="AK163" i="24" s="1"/>
  <c r="AJ158" i="24"/>
  <c r="AJ163" i="24" s="1"/>
  <c r="AG158" i="24"/>
  <c r="AG163" i="24" s="1"/>
  <c r="AJ348" i="24"/>
  <c r="AJ353" i="24" s="1"/>
  <c r="AG541" i="24"/>
  <c r="X61" i="24"/>
  <c r="X66" i="24" s="1"/>
  <c r="AD66" i="24" s="1"/>
  <c r="AT10" i="24" s="1"/>
  <c r="AC57" i="24"/>
  <c r="X310" i="24"/>
  <c r="X315" i="24" s="1"/>
  <c r="AD315" i="24" s="1"/>
  <c r="AT23" i="24" s="1"/>
  <c r="AC306" i="24"/>
  <c r="AC134" i="24"/>
  <c r="X138" i="24"/>
  <c r="X143" i="24" s="1"/>
  <c r="AD143" i="24" s="1"/>
  <c r="AT14" i="24" s="1"/>
  <c r="X81" i="24"/>
  <c r="X86" i="24" s="1"/>
  <c r="AD86" i="24" s="1"/>
  <c r="AT11" i="24" s="1"/>
  <c r="AC77" i="24"/>
  <c r="X234" i="24"/>
  <c r="X239" i="24" s="1"/>
  <c r="AD239" i="24" s="1"/>
  <c r="AT19" i="24" s="1"/>
  <c r="AC230" i="24"/>
  <c r="Z158" i="24"/>
  <c r="AP451" i="15"/>
  <c r="AJ457" i="15"/>
  <c r="AI457" i="15"/>
  <c r="AJ428" i="15"/>
  <c r="AR451" i="15"/>
  <c r="G68" i="16"/>
  <c r="G66" i="16"/>
  <c r="G69" i="16"/>
  <c r="G54" i="16"/>
  <c r="R84" i="16"/>
  <c r="R82" i="16"/>
  <c r="R92" i="16"/>
  <c r="G65" i="16"/>
  <c r="G75" i="16"/>
  <c r="R95" i="16"/>
  <c r="AJ451" i="15"/>
  <c r="AH381" i="15"/>
  <c r="AL428" i="15"/>
  <c r="AM428" i="15"/>
  <c r="AM451" i="15"/>
  <c r="AK428" i="15"/>
  <c r="AN428" i="15"/>
  <c r="AI428" i="15"/>
  <c r="AH428" i="15"/>
  <c r="AO428" i="15"/>
  <c r="AJ381" i="15"/>
  <c r="AQ428" i="15"/>
  <c r="AP428" i="15"/>
  <c r="AI381" i="15"/>
  <c r="AC536" i="24"/>
  <c r="AR428" i="15"/>
  <c r="AN381" i="15"/>
  <c r="AL432" i="15"/>
  <c r="AI432" i="15"/>
  <c r="AH160" i="15"/>
  <c r="AK381" i="15"/>
  <c r="AP381" i="15"/>
  <c r="AP457" i="15"/>
  <c r="AO458" i="15" s="1"/>
  <c r="V42" i="16" s="1"/>
  <c r="AL381" i="15"/>
  <c r="AM381" i="15"/>
  <c r="AO381" i="15"/>
  <c r="AQ381" i="15"/>
  <c r="AR381" i="15"/>
  <c r="AJ160" i="15"/>
  <c r="AI160" i="15"/>
  <c r="AH432" i="15"/>
  <c r="AN432" i="15"/>
  <c r="AQ432" i="15"/>
  <c r="AL160" i="15"/>
  <c r="M234" i="24"/>
  <c r="BI19" i="24" s="1"/>
  <c r="AQ160" i="15"/>
  <c r="AN160" i="15"/>
  <c r="AO160" i="15"/>
  <c r="AK432" i="15"/>
  <c r="AM160" i="15"/>
  <c r="AP160" i="15"/>
  <c r="AK160" i="15"/>
  <c r="AR160" i="15"/>
  <c r="F34" i="16"/>
  <c r="G11" i="16"/>
  <c r="F11" i="16"/>
  <c r="E11" i="16"/>
  <c r="D11" i="16"/>
  <c r="E9" i="16"/>
  <c r="G228" i="34"/>
  <c r="G55" i="16"/>
  <c r="M61" i="24"/>
  <c r="BI10" i="24" s="1"/>
  <c r="G77" i="16"/>
  <c r="R93" i="16"/>
  <c r="G57" i="16"/>
  <c r="AC268" i="24"/>
  <c r="R81" i="16"/>
  <c r="M329" i="24"/>
  <c r="BI24" i="24" s="1"/>
  <c r="M310" i="24"/>
  <c r="BI23" i="24" s="1"/>
  <c r="M119" i="24"/>
  <c r="BI13" i="24" s="1"/>
  <c r="M100" i="24"/>
  <c r="BI12" i="24" s="1"/>
  <c r="R90" i="16"/>
  <c r="G73" i="16"/>
  <c r="M138" i="24"/>
  <c r="BI14" i="24" s="1"/>
  <c r="AL451" i="15"/>
  <c r="AI451" i="15"/>
  <c r="AN451" i="15"/>
  <c r="AQ451" i="15"/>
  <c r="AK451" i="15"/>
  <c r="AH451" i="15"/>
  <c r="AJ260" i="15"/>
  <c r="AO260" i="15"/>
  <c r="AR260" i="15"/>
  <c r="AN260" i="15"/>
  <c r="AJ432" i="15"/>
  <c r="AM260" i="15"/>
  <c r="AQ260" i="15"/>
  <c r="AM432" i="15"/>
  <c r="AL260" i="15"/>
  <c r="AI260" i="15"/>
  <c r="AP260" i="15"/>
  <c r="AR432" i="15"/>
  <c r="AO432" i="15"/>
  <c r="AH260" i="15"/>
  <c r="AK260" i="15"/>
  <c r="AP432" i="15"/>
  <c r="AB18" i="24" l="1"/>
  <c r="AK590" i="34"/>
  <c r="AN590" i="34"/>
  <c r="AM590" i="34"/>
  <c r="AL590" i="34"/>
  <c r="AK577" i="34"/>
  <c r="AN577" i="34"/>
  <c r="AM577" i="34"/>
  <c r="AL577" i="34"/>
  <c r="J18" i="42"/>
  <c r="B291" i="45"/>
  <c r="J19" i="42"/>
  <c r="K19" i="42"/>
  <c r="K18" i="42"/>
  <c r="P41" i="31"/>
  <c r="B236" i="45" s="1"/>
  <c r="B297" i="45"/>
  <c r="AK574" i="34"/>
  <c r="AN574" i="34"/>
  <c r="AM574" i="34"/>
  <c r="AL574" i="34"/>
  <c r="AK595" i="34"/>
  <c r="AN595" i="34"/>
  <c r="AM595" i="34"/>
  <c r="AL595" i="34"/>
  <c r="AK588" i="34"/>
  <c r="AN588" i="34"/>
  <c r="AM588" i="34"/>
  <c r="AL588" i="34"/>
  <c r="AK576" i="34"/>
  <c r="AN576" i="34"/>
  <c r="AM576" i="34"/>
  <c r="AL576" i="34"/>
  <c r="K38" i="42"/>
  <c r="B296" i="45"/>
  <c r="J38" i="42"/>
  <c r="J37" i="42"/>
  <c r="B351" i="45" s="1"/>
  <c r="K37" i="42"/>
  <c r="AY41" i="24"/>
  <c r="AJ601" i="34" s="1"/>
  <c r="AK570" i="34"/>
  <c r="AN570" i="34"/>
  <c r="AM570" i="34"/>
  <c r="AL570" i="34"/>
  <c r="AK580" i="34"/>
  <c r="AN580" i="34"/>
  <c r="AM580" i="34"/>
  <c r="AL580" i="34"/>
  <c r="AK594" i="34"/>
  <c r="AN594" i="34"/>
  <c r="AM594" i="34"/>
  <c r="AL594" i="34"/>
  <c r="AK572" i="34"/>
  <c r="AN572" i="34"/>
  <c r="AM572" i="34"/>
  <c r="AL572" i="34"/>
  <c r="AK586" i="34"/>
  <c r="AN586" i="34"/>
  <c r="AM586" i="34"/>
  <c r="AL586" i="34"/>
  <c r="AK589" i="34"/>
  <c r="AN589" i="34"/>
  <c r="AM589" i="34"/>
  <c r="AL589" i="34"/>
  <c r="J35" i="42"/>
  <c r="B295" i="45"/>
  <c r="J36" i="42"/>
  <c r="B321" i="45" s="1"/>
  <c r="K36" i="42"/>
  <c r="J34" i="42"/>
  <c r="K34" i="42"/>
  <c r="K35" i="42"/>
  <c r="AK583" i="34"/>
  <c r="AN583" i="34"/>
  <c r="AM583" i="34"/>
  <c r="AL583" i="34"/>
  <c r="AK587" i="34"/>
  <c r="AN587" i="34"/>
  <c r="AM587" i="34"/>
  <c r="AL587" i="34"/>
  <c r="B318" i="45"/>
  <c r="B344" i="45"/>
  <c r="B345" i="45"/>
  <c r="B319" i="45"/>
  <c r="B333" i="45"/>
  <c r="B307" i="45"/>
  <c r="B312" i="45"/>
  <c r="B338" i="45"/>
  <c r="B305" i="45"/>
  <c r="B331" i="45"/>
  <c r="B316" i="45"/>
  <c r="B342" i="45"/>
  <c r="B317" i="45"/>
  <c r="B343" i="45"/>
  <c r="B337" i="45"/>
  <c r="B311" i="45"/>
  <c r="B329" i="45"/>
  <c r="B303" i="45"/>
  <c r="B304" i="45"/>
  <c r="B330" i="45"/>
  <c r="B339" i="45"/>
  <c r="B313" i="45"/>
  <c r="B341" i="45"/>
  <c r="B315" i="45"/>
  <c r="B308" i="45"/>
  <c r="B334" i="45"/>
  <c r="B336" i="45"/>
  <c r="B310" i="45"/>
  <c r="B324" i="45"/>
  <c r="B350" i="45"/>
  <c r="B332" i="45"/>
  <c r="B306" i="45"/>
  <c r="B320" i="45"/>
  <c r="B346" i="45"/>
  <c r="B314" i="45"/>
  <c r="B340" i="45"/>
  <c r="B335" i="45"/>
  <c r="B309" i="45"/>
  <c r="B348" i="45"/>
  <c r="B322" i="45"/>
  <c r="B349" i="45"/>
  <c r="B323" i="45"/>
  <c r="AP497" i="34"/>
  <c r="AP492" i="34"/>
  <c r="AP490" i="34"/>
  <c r="D499" i="34" s="1"/>
  <c r="AP491" i="34"/>
  <c r="D500" i="34" s="1"/>
  <c r="AP496" i="34"/>
  <c r="AP494" i="34"/>
  <c r="AP495" i="34"/>
  <c r="AP489" i="34"/>
  <c r="D498" i="34" s="1"/>
  <c r="AP493" i="34"/>
  <c r="S69" i="16"/>
  <c r="BH25" i="24"/>
  <c r="BH32" i="24"/>
  <c r="BH31" i="24"/>
  <c r="BE35" i="24"/>
  <c r="BH22" i="24"/>
  <c r="BH18" i="24"/>
  <c r="BH11" i="24"/>
  <c r="BE20" i="24"/>
  <c r="V88" i="16"/>
  <c r="E61" i="16"/>
  <c r="AJ593" i="34"/>
  <c r="V95" i="16"/>
  <c r="E77" i="16"/>
  <c r="E65" i="16"/>
  <c r="AJ581" i="34"/>
  <c r="E75" i="16"/>
  <c r="V93" i="16"/>
  <c r="E69" i="16"/>
  <c r="AJ585" i="34"/>
  <c r="E55" i="16"/>
  <c r="V82" i="16"/>
  <c r="V84" i="16"/>
  <c r="AJ573" i="34"/>
  <c r="E58" i="16"/>
  <c r="V85" i="16"/>
  <c r="AJ571" i="34"/>
  <c r="AJ582" i="34"/>
  <c r="E76" i="16"/>
  <c r="AJ579" i="34"/>
  <c r="AJ584" i="34"/>
  <c r="E68" i="16"/>
  <c r="AJ592" i="34"/>
  <c r="AJ591" i="34"/>
  <c r="AJ578" i="34"/>
  <c r="S56" i="16"/>
  <c r="BH12" i="24"/>
  <c r="S68" i="16"/>
  <c r="BH24" i="24"/>
  <c r="S73" i="16"/>
  <c r="BH29" i="24"/>
  <c r="S58" i="16"/>
  <c r="BH14" i="24"/>
  <c r="S57" i="16"/>
  <c r="BH13" i="24"/>
  <c r="S54" i="16"/>
  <c r="BH10" i="24"/>
  <c r="S67" i="16"/>
  <c r="BH23" i="24"/>
  <c r="S63" i="16"/>
  <c r="BH19" i="24"/>
  <c r="V89" i="16"/>
  <c r="E64" i="16"/>
  <c r="V92" i="16"/>
  <c r="V81" i="16"/>
  <c r="AH20" i="24"/>
  <c r="D427" i="34" s="1"/>
  <c r="AL18" i="24"/>
  <c r="AO20" i="24"/>
  <c r="I428" i="34" s="1"/>
  <c r="AL20" i="24"/>
  <c r="F427" i="34" s="1"/>
  <c r="AA427" i="34" s="1"/>
  <c r="AM18" i="24"/>
  <c r="AN20" i="24"/>
  <c r="F428" i="34" s="1"/>
  <c r="AA428" i="34" s="1"/>
  <c r="AM20" i="24"/>
  <c r="I427" i="34" s="1"/>
  <c r="AI20" i="24"/>
  <c r="D428" i="34" s="1"/>
  <c r="AK431" i="24"/>
  <c r="AK20" i="24" s="1"/>
  <c r="I429" i="34" s="1"/>
  <c r="AK18" i="24"/>
  <c r="AJ431" i="24"/>
  <c r="AJ18" i="24"/>
  <c r="AG431" i="24"/>
  <c r="AG20" i="24" s="1"/>
  <c r="AG18" i="24"/>
  <c r="AH18" i="24"/>
  <c r="AJ458" i="15"/>
  <c r="C13" i="36" s="1"/>
  <c r="D677" i="34" s="1"/>
  <c r="AI458" i="15"/>
  <c r="C12" i="36" s="1"/>
  <c r="D676" i="34" s="1"/>
  <c r="AH458" i="15"/>
  <c r="C11" i="36" s="1"/>
  <c r="D675" i="34" s="1"/>
  <c r="AK458" i="15"/>
  <c r="V38" i="16" s="1"/>
  <c r="AQ458" i="15"/>
  <c r="V44" i="16" s="1"/>
  <c r="AM458" i="15"/>
  <c r="V40" i="16" s="1"/>
  <c r="AN458" i="15"/>
  <c r="V41" i="16" s="1"/>
  <c r="AR458" i="15"/>
  <c r="V45" i="16" s="1"/>
  <c r="AL458" i="15"/>
  <c r="V39" i="16" s="1"/>
  <c r="AP458" i="15"/>
  <c r="V43" i="16" s="1"/>
  <c r="AJ433" i="15"/>
  <c r="B13" i="36" s="1"/>
  <c r="D670" i="34" s="1"/>
  <c r="AH452" i="15"/>
  <c r="AN452" i="15"/>
  <c r="AO452" i="15"/>
  <c r="AI452" i="15"/>
  <c r="AR452" i="15"/>
  <c r="AK452" i="15"/>
  <c r="AP452" i="15"/>
  <c r="AL452" i="15"/>
  <c r="AQ452" i="15"/>
  <c r="AJ452" i="15"/>
  <c r="AM452" i="15"/>
  <c r="AR433" i="15"/>
  <c r="V14" i="16" s="1"/>
  <c r="AH433" i="15"/>
  <c r="B11" i="36" s="1"/>
  <c r="D668" i="34" s="1"/>
  <c r="AN433" i="15"/>
  <c r="V10" i="16" s="1"/>
  <c r="AM433" i="15"/>
  <c r="V9" i="16" s="1"/>
  <c r="AK433" i="15"/>
  <c r="V7" i="16" s="1"/>
  <c r="AO433" i="15"/>
  <c r="V11" i="16" s="1"/>
  <c r="AQ433" i="15"/>
  <c r="V13" i="16" s="1"/>
  <c r="AP433" i="15"/>
  <c r="V12" i="16" s="1"/>
  <c r="AI433" i="15"/>
  <c r="B12" i="36" s="1"/>
  <c r="D669" i="34" s="1"/>
  <c r="AL433" i="15"/>
  <c r="V8" i="16" s="1"/>
  <c r="B347" i="45" l="1"/>
  <c r="B325" i="45"/>
  <c r="AK592" i="34"/>
  <c r="AN592" i="34"/>
  <c r="AM592" i="34"/>
  <c r="AL592" i="34"/>
  <c r="AK582" i="34"/>
  <c r="AN582" i="34"/>
  <c r="AM582" i="34"/>
  <c r="AL582" i="34"/>
  <c r="AK573" i="34"/>
  <c r="AN573" i="34"/>
  <c r="AM573" i="34"/>
  <c r="AL573" i="34"/>
  <c r="AK585" i="34"/>
  <c r="AN585" i="34"/>
  <c r="AM585" i="34"/>
  <c r="AL585" i="34"/>
  <c r="AK581" i="34"/>
  <c r="AN581" i="34"/>
  <c r="AM581" i="34"/>
  <c r="AL581" i="34"/>
  <c r="AK593" i="34"/>
  <c r="AN593" i="34"/>
  <c r="AM593" i="34"/>
  <c r="AL593" i="34"/>
  <c r="AK578" i="34"/>
  <c r="AN578" i="34"/>
  <c r="AM578" i="34"/>
  <c r="AL578" i="34"/>
  <c r="AK584" i="34"/>
  <c r="AN584" i="34"/>
  <c r="AM584" i="34"/>
  <c r="AL584" i="34"/>
  <c r="AK571" i="34"/>
  <c r="AN571" i="34"/>
  <c r="AM571" i="34"/>
  <c r="AL571" i="34"/>
  <c r="AK591" i="34"/>
  <c r="AN591" i="34"/>
  <c r="AM591" i="34"/>
  <c r="AL591" i="34"/>
  <c r="AK579" i="34"/>
  <c r="AN579" i="34"/>
  <c r="AM579" i="34"/>
  <c r="AL579" i="34"/>
  <c r="AB427" i="34"/>
  <c r="AC427" i="34" s="1"/>
  <c r="V26" i="16"/>
  <c r="X21" i="16"/>
  <c r="V21" i="16"/>
  <c r="W21" i="16"/>
  <c r="W26" i="16"/>
  <c r="X26" i="16"/>
  <c r="AB428" i="34"/>
  <c r="AC428" i="34" s="1"/>
  <c r="D429" i="34"/>
  <c r="AJ20" i="24"/>
  <c r="F429" i="34" s="1"/>
  <c r="AA429" i="34" l="1"/>
  <c r="AB429" i="34" s="1"/>
  <c r="H428" i="34"/>
  <c r="G428" i="34"/>
  <c r="H427" i="34"/>
  <c r="G427" i="34"/>
  <c r="AC429" i="34" l="1"/>
  <c r="H429" i="34" s="1"/>
  <c r="G429" i="34"/>
  <c r="V86" i="16"/>
  <c r="E59" i="16"/>
  <c r="S59" i="16" l="1"/>
  <c r="M59" i="16"/>
  <c r="AJ575" i="34" l="1"/>
  <c r="G59" i="16"/>
  <c r="R86" i="16"/>
  <c r="AK575" i="34" l="1"/>
  <c r="AN575" i="34"/>
  <c r="AM575" i="34"/>
  <c r="AL575" i="34"/>
  <c r="E395" i="15"/>
  <c r="Q394" i="15"/>
  <c r="D571" i="34" l="1" a="1"/>
  <c r="D571" i="34" s="1"/>
  <c r="P40" i="14"/>
  <c r="E19" i="20" s="1"/>
  <c r="Q98" i="15"/>
  <c r="Q40" i="14" s="1"/>
  <c r="B364" i="45" l="1"/>
  <c r="B360" i="45"/>
  <c r="B365" i="45"/>
  <c r="B391" i="45"/>
  <c r="B379" i="45"/>
  <c r="B363" i="45"/>
  <c r="B380" i="45"/>
  <c r="B372" i="45"/>
  <c r="B368" i="45"/>
  <c r="B369" i="45"/>
  <c r="B361" i="45"/>
  <c r="B381" i="45"/>
  <c r="B367" i="45"/>
  <c r="B396" i="45"/>
  <c r="B392" i="45"/>
  <c r="B385" i="45"/>
  <c r="B383" i="45"/>
  <c r="B394" i="45"/>
  <c r="B366" i="45"/>
  <c r="B397" i="45"/>
  <c r="B371" i="45"/>
  <c r="B395" i="45"/>
  <c r="B362" i="45"/>
  <c r="B382" i="45"/>
  <c r="B370" i="45"/>
  <c r="B393" i="45"/>
  <c r="B384" i="45"/>
  <c r="AG57" i="20"/>
  <c r="I19" i="20"/>
  <c r="J19" i="20"/>
  <c r="E49" i="34"/>
  <c r="K19" i="20" l="1"/>
  <c r="E613" i="34" s="1"/>
  <c r="AI57" i="20"/>
  <c r="AJ57" i="20" s="1"/>
  <c r="F613" i="34" s="1"/>
  <c r="D613" i="34"/>
  <c r="E153" i="15"/>
  <c r="E152" i="15"/>
  <c r="L19" i="20" l="1"/>
  <c r="AJ54" i="20"/>
  <c r="F611" i="34" s="1"/>
  <c r="K40" i="20" l="1"/>
  <c r="AI56" i="20"/>
  <c r="E612" i="34" s="1"/>
  <c r="AG56" i="20"/>
  <c r="J40" i="20"/>
  <c r="AJ56" i="20" l="1"/>
  <c r="F612" i="34" s="1"/>
  <c r="D612" i="34"/>
  <c r="L40"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tc={730D0617-D584-7A4D-B738-B6E05C12857D}</author>
    <author>tc={6D4EE63E-E36E-DE43-9F33-A873A6F09E2A}</author>
    <author>tc={448E8329-35B3-5D46-9A34-28758E4A3CDE}</author>
    <author>tc={4A5A1F05-D75A-FB44-B82D-29AD109E1594}</author>
    <author>tc={DA1F15F1-A7A9-A94C-BB97-D45D9FB0F940}</author>
    <author>tc={1D54AF3C-B74D-194D-B912-22A0D550AB36}</author>
    <author>tc={054B7207-1B5C-E941-A252-BED45D2685F4}</author>
    <author>tc={CBD24940-241F-774E-80D1-CE1241005F78}</author>
    <author>tc={5E09927C-892F-ED4A-9CD6-24B61673B8C5}</author>
    <author>tc={40EDC949-1964-6340-B48F-C6C9EC875F9C}</author>
    <author>tc={6898A81C-3861-9B43-B447-FC3851C867F2}</author>
  </authors>
  <commentList>
    <comment ref="D66" authorId="0" shapeId="0" xr:uid="{730D0617-D584-7A4D-B738-B6E05C12857D}">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voir PCR31</t>
        </r>
      </text>
    </comment>
    <comment ref="J86" authorId="1" shapeId="0" xr:uid="{6D4EE63E-E36E-DE43-9F33-A873A6F09E2A}">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Mettre condition 
de VC </t>
        </r>
      </text>
    </comment>
    <comment ref="J87" authorId="2" shapeId="0" xr:uid="{448E8329-35B3-5D46-9A34-28758E4A3CD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Mettre condition 
de VC </t>
        </r>
      </text>
    </comment>
    <comment ref="J95" authorId="3" shapeId="0" xr:uid="{4A5A1F05-D75A-FB44-B82D-29AD109E159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Conditions VC</t>
        </r>
      </text>
    </comment>
    <comment ref="F116" authorId="4" shapeId="0" xr:uid="{DA1F15F1-A7A9-A94C-BB97-D45D9FB0F94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différentiel</t>
        </r>
      </text>
    </comment>
    <comment ref="G127" authorId="5" shapeId="0" xr:uid="{1D54AF3C-B74D-194D-B912-22A0D550AB3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À retirer 
</t>
        </r>
      </text>
    </comment>
    <comment ref="J131" authorId="6" shapeId="0" xr:uid="{054B7207-1B5C-E941-A252-BED45D2685F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conditions VC</t>
        </r>
      </text>
    </comment>
    <comment ref="D133" authorId="7" shapeId="0" xr:uid="{CBD24940-241F-774E-80D1-CE1241005F7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Voir PCR16</t>
        </r>
      </text>
    </comment>
    <comment ref="B178" authorId="8" shapeId="0" xr:uid="{5E09927C-892F-ED4A-9CD6-24B61673B8C5}">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question</t>
        </r>
      </text>
    </comment>
    <comment ref="B191" authorId="9" shapeId="0" xr:uid="{40EDC949-1964-6340-B48F-C6C9EC875F9C}">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adapte pour garder juste adapte</t>
        </r>
      </text>
    </comment>
    <comment ref="B194" authorId="10" shapeId="0" xr:uid="{6898A81C-3861-9B43-B447-FC3851C867F2}">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Doit s’ouvrir si E15a n’est pas ouvert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tc={A4A8BABF-F3D7-9841-B83A-0F9F52F6A0C9}</author>
    <author>tc={B54F4D69-B516-1C4E-9819-74DBD1778396}</author>
    <author>tc={C40D78C1-98D9-7841-8904-71D25DEFAD0E}</author>
    <author>tc={1EE026BF-86EE-8949-A68A-0C65E0A74BF5}</author>
    <author>tc={1D347874-54DB-7743-BEFD-CF1C08971D89}</author>
    <author>tc={949828DD-E770-0845-A7B7-3BF475ECB6F9}</author>
    <author>tc={8E9FB589-98A0-F44C-B4CD-CC555A2469FD}</author>
    <author>tc={6DCF1DC9-7968-F044-8178-B2F1776AD0DC}</author>
    <author>tc={CC30D837-B114-3640-85E2-08C1020C74E3}</author>
  </authors>
  <commentList>
    <comment ref="L55" authorId="0" shapeId="0" xr:uid="{A4A8BABF-F3D7-9841-B83A-0F9F52F6A0C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 été changé
</t>
        </r>
      </text>
    </comment>
    <comment ref="C68" authorId="1" shapeId="0" xr:uid="{B54F4D69-B516-1C4E-9819-74DBD177839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Ajouter condition dans le Test_bible
</t>
        </r>
      </text>
    </comment>
    <comment ref="N83" authorId="2" shapeId="0" xr:uid="{C40D78C1-98D9-7841-8904-71D25DEFAD0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N138" authorId="3" shapeId="0" xr:uid="{1EE026BF-86EE-8949-A68A-0C65E0A74BF5}">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C142" authorId="4" shapeId="0" xr:uid="{1D347874-54DB-7743-BEFD-CF1C08971D8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Intégrer dans le test-bible la condition
</t>
        </r>
      </text>
    </comment>
    <comment ref="N160" authorId="5" shapeId="0" xr:uid="{949828DD-E770-0845-A7B7-3BF475ECB6F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 ref="N174" authorId="6" shapeId="0" xr:uid="{8E9FB589-98A0-F44C-B4CD-CC555A2469F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 ref="F196" authorId="7" shapeId="0" xr:uid="{6DCF1DC9-7968-F044-8178-B2F1776AD0DC}">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Le mot « change » a été retiré
</t>
        </r>
      </text>
    </comment>
    <comment ref="A198" authorId="8" shapeId="0" xr:uid="{CC30D837-B114-3640-85E2-08C1020C74E3}">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 d’ouverture de E15a est nouvelle et ajouté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AD302" authorId="1" shapeId="0" xr:uid="{936771B5-C196-1F44-A858-B311094709E1}">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D314" authorId="2" shapeId="0" xr:uid="{D179F174-36D0-8F45-BEA1-5EB2F80D1F9C}">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t>
        </r>
      </text>
    </comment>
    <comment ref="D373" authorId="3" shapeId="0" xr:uid="{96D8F203-BA3B-0E4E-83C9-A7612D383F7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3" authorId="1" shapeId="0" xr:uid="{0B0A78D6-6DB4-654B-AB13-20DB3B9AB0A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31" authorId="2" shapeId="0" xr:uid="{BC44F449-A1DA-AE49-87A2-8BA2B5703B1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87" authorId="3" shapeId="0" xr:uid="{6BAD718D-189A-0948-B331-8C28778DB74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97" authorId="4" shapeId="0" xr:uid="{852E7277-ACA8-6C46-8E5D-96CD43594B0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109" authorId="5" shapeId="0" xr:uid="{47BF9CD6-1770-A046-A2B1-89341CE1CA3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00" authorId="6" shapeId="0" xr:uid="{B6A740A4-9ECC-6E49-A97C-C6E6A5E1DB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10" authorId="7" shapeId="0" xr:uid="{902D2B26-E155-1947-8639-A738AC4A49D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22" authorId="8" shapeId="0" xr:uid="{68EA85FE-9DF0-5844-9BCE-7D656945FC2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51" authorId="9" shapeId="0" xr:uid="{24E24ECA-2BC8-DC45-97C2-4EB75F0E581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68" authorId="10" shapeId="0" xr:uid="{B14264B7-A064-9146-BFB9-271E3A2E0D9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tc={5F114D5B-A2F9-D94A-986E-ECD6C4F5CA9D}</author>
    <author>tc={7A8210FA-E9C3-B84D-A1DC-30A0A86B0F71}</author>
  </authors>
  <commentList>
    <comment ref="B19" authorId="0" shapeId="0" xr:uid="{5F114D5B-A2F9-D94A-986E-ECD6C4F5CA9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Compromis fait
</t>
        </r>
      </text>
    </comment>
    <comment ref="E22" authorId="1" shapeId="0" xr:uid="{7A8210FA-E9C3-B84D-A1DC-30A0A86B0F71}">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Si l’enfant est plus jeune que 12 ans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62" authorId="0" shapeId="0" xr:uid="{A66E4250-D4C2-824C-A68B-04AE1461DE0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tc={FE0CF86D-323D-1943-9EDB-9F812A0244C8}</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ex.: si le coparent a une piètre opinion de sa valeur parentale / ouvrir dialogue / médiation 
ne pas nourrir l’impasse du préjugé  
Réponse :
     Dans une situation de 1 an et moins ; 
Pas de relation de coparentalité (éducative)
</t>
        </r>
      </text>
    </comment>
    <comment ref="O7" authorId="1" shapeId="0" xr:uid="{FE0CF86D-323D-1943-9EDB-9F812A0244C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Pas de relation de coparentalité créée</t>
        </r>
      </text>
    </comment>
    <comment ref="O8" authorId="2" shapeId="0" xr:uid="{98AB70AC-AEAE-674A-B0CF-63DCA6F1C9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PÉRIODE DE TURBULENCE À PRÉVOIR DES DEUX PREMIÈRES ANNÉES
</t>
        </r>
      </text>
    </comment>
    <comment ref="O17" authorId="3" shapeId="0" xr:uid="{72C471DA-08C6-4D4B-B3A1-8DCD0404A78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ÈDUCATION REJET PASSIF ET REJET ACTIF
+notion théorique associé au rejet actif ou passif</t>
        </r>
      </text>
    </comment>
    <comment ref="O27" authorId="4" shapeId="0" xr:uid="{13FBC11C-7C34-F345-A8DF-D881A1F95A19}">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Principe de coparentalité (droits parentaux)</t>
        </r>
      </text>
    </comment>
    <comment ref="O29" authorId="5" shapeId="0" xr:uid="{81A20AE0-63BE-7F4B-BB9A-FE06AD7C3418}">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Tappette sur les doigts
</t>
        </r>
      </text>
    </comment>
    <comment ref="G33" authorId="6" shapeId="0" xr:uid="{D354F9B8-5015-C549-95D1-FA9B3CBFE8B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O33" authorId="7" shapeId="0" xr:uid="{E5DFF164-7B12-F249-A782-FCCD5E365D1A}">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Notion du volontaire et involontaire</t>
        </r>
      </text>
    </comment>
    <comment ref="O37" authorId="8" shapeId="0" xr:uid="{B94E8436-E845-E546-B894-DB5EDD8BA0E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DROITS ET PRINCIPE DE COPARENTALITÉ
Dans le rapport, les comportements cochés, viennent alimentés les résultats. À l’mage des catégories ou autres schématisations
</t>
        </r>
      </text>
    </comment>
    <comment ref="O38" authorId="9" shapeId="0" xr:uid="{DE626292-8580-6E42-961B-64BDB766B0C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Important de commenter dans le r/r final si le répondant indique qu’il est déchu de l’autorité parentale … et expliquer ce que que c’est car ça change tout. Et inversement, selon le désir d’exclusion parentale, surveiller les cpts typiques 
 </t>
        </r>
      </text>
    </comment>
    <comment ref="G41" authorId="10" shapeId="0" xr:uid="{31C20CA6-116C-0340-961A-F9568B02D59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O47" authorId="11" shapeId="0" xr:uid="{7D138550-6BD1-4446-B3F8-AAB33EA1F0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ADR
</t>
        </r>
      </text>
    </comment>
    <comment ref="O51" authorId="12" shapeId="0" xr:uid="{6FE3614A-5C8B-4042-8826-9314AC2D771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 ref="O56" authorId="13" shapeId="0" xr:uid="{E54D9FBC-CC04-2E4E-A97E-73F5246AB75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<sst xmlns="http://schemas.openxmlformats.org/spreadsheetml/2006/main" count="7716" uniqueCount="2500">
  <si>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</si>
  <si>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</si>
  <si>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</si>
  <si>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</si>
  <si>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</si>
  <si>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</si>
  <si>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</si>
  <si>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</si>
  <si>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</si>
  <si>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</si>
  <si>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</si>
  <si>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</si>
  <si>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</si>
  <si>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</si>
  <si>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</si>
  <si>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</si>
  <si>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</si>
  <si>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</si>
  <si>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</si>
  <si>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</si>
  <si>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</si>
  <si>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</si>
  <si>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</si>
  <si>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</si>
  <si>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</si>
  <si>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</si>
  <si>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</si>
  <si>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</si>
  <si>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</si>
  <si>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</si>
  <si>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</si>
  <si>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</si>
  <si>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</si>
  <si>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</si>
  <si>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</si>
  <si>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</si>
  <si>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</si>
  <si>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</si>
  <si>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</si>
  <si>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</si>
  <si>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</si>
  <si>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</si>
  <si>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</si>
  <si>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</si>
  <si>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</si>
  <si>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</si>
  <si>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</si>
  <si>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</si>
  <si>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</si>
  <si>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</si>
  <si>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</si>
  <si>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</si>
  <si>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</si>
  <si>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</si>
  <si>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</si>
  <si>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</si>
  <si>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</si>
  <si>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</si>
  <si>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</si>
  <si>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</si>
  <si>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</si>
  <si>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</si>
  <si>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</si>
  <si>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</si>
  <si>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</si>
  <si>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</si>
  <si>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</si>
  <si>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</si>
  <si>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</si>
  <si>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</si>
  <si>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</si>
  <si>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</si>
  <si>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</si>
  <si>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</si>
  <si>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</si>
  <si>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</si>
  <si>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</si>
  <si>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</si>
  <si>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</si>
  <si>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</si>
  <si>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</si>
  <si>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</si>
  <si>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</si>
  <si>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</si>
  <si>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</si>
  <si>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</si>
  <si>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</si>
  <si>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</si>
  <si>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</si>
  <si>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</si>
  <si>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</si>
  <si>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</si>
  <si>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</si>
  <si>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</si>
  <si>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</si>
  <si>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</si>
  <si>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</si>
  <si>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</si>
  <si>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</si>
  <si>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</si>
  <si>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</si>
  <si>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</si>
  <si>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</si>
  <si>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</si>
  <si>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</si>
  <si>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</si>
  <si>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</si>
  <si>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</si>
  <si>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</si>
  <si>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</si>
  <si>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</si>
  <si>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</si>
  <si>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</si>
  <si>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</si>
  <si>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</si>
  <si>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</si>
  <si>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</si>
  <si>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</si>
  <si>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</si>
  <si>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</si>
  <si>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</si>
  <si>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</si>
  <si>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</si>
  <si>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</si>
  <si>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</si>
  <si>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</si>
  <si>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</si>
  <si>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</si>
  <si>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</si>
  <si>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</si>
  <si>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</si>
  <si>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</si>
  <si>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</si>
  <si>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</si>
  <si>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</si>
  <si>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</si>
  <si>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</si>
  <si>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</si>
  <si>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</si>
  <si>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</si>
  <si>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</si>
  <si>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</si>
  <si>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</si>
  <si>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</si>
  <si>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</si>
  <si>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</si>
  <si>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</si>
  <si>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</si>
  <si>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</si>
  <si>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</si>
  <si>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</si>
  <si>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</si>
  <si>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</si>
  <si>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</si>
  <si>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</si>
  <si>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</si>
  <si>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</si>
  <si>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</si>
  <si>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</si>
  <si>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</si>
  <si>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</si>
  <si>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</si>
  <si>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</si>
  <si>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</si>
  <si>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</si>
  <si>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</si>
  <si>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</si>
  <si>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</si>
  <si>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</si>
  <si>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</si>
  <si>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</si>
  <si>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</si>
  <si>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</si>
  <si>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</si>
  <si>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</si>
  <si>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</si>
  <si>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</si>
  <si>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</si>
  <si>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</si>
  <si>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</si>
  <si>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</si>
  <si>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</si>
  <si>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</si>
  <si>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</si>
  <si>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</si>
  <si>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</si>
  <si>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</si>
  <si>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</si>
  <si>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</si>
  <si>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</si>
  <si>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E32</t>
  </si>
  <si>
    <t>E33</t>
  </si>
  <si>
    <t>E34</t>
  </si>
  <si>
    <t>E35</t>
  </si>
  <si>
    <t>E36</t>
  </si>
  <si>
    <t>si oui</t>
  </si>
  <si>
    <t>PCR17</t>
  </si>
  <si>
    <t>PCR18</t>
  </si>
  <si>
    <t>NC01</t>
  </si>
  <si>
    <t>NC01a</t>
  </si>
  <si>
    <t>NC02</t>
  </si>
  <si>
    <t>NC03</t>
  </si>
  <si>
    <t>NC04</t>
  </si>
  <si>
    <t>NC07</t>
  </si>
  <si>
    <t>NC09</t>
  </si>
  <si>
    <t>NC10</t>
  </si>
  <si>
    <t>NC11</t>
  </si>
  <si>
    <t>NC13</t>
  </si>
  <si>
    <t>NC14</t>
  </si>
  <si>
    <t>NC15</t>
  </si>
  <si>
    <t>NC16</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</si>
  <si>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</si>
  <si>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</si>
  <si>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</si>
  <si>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</si>
  <si>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</si>
  <si>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</si>
  <si>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</si>
  <si>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</si>
  <si>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</si>
  <si>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</si>
  <si>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</si>
  <si>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</si>
  <si>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</si>
  <si>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</si>
  <si>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</si>
  <si>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</si>
  <si>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</si>
  <si>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</si>
  <si>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</si>
  <si>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</si>
  <si>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</si>
  <si>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</si>
  <si>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</si>
  <si>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</si>
  <si>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</si>
  <si>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</si>
  <si>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</si>
  <si>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</si>
  <si>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</si>
  <si>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</si>
  <si>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</si>
  <si>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</si>
  <si>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</si>
  <si>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</si>
  <si>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</si>
  <si>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</si>
  <si>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</si>
  <si>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</si>
  <si>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</si>
  <si>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</si>
  <si>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</si>
  <si>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</si>
  <si>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</si>
  <si>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COMBINAISONS</t>
  </si>
  <si>
    <t>Neutre</t>
  </si>
  <si>
    <t>Aucun changement</t>
  </si>
  <si>
    <t>Selon vos résultats du questionnaire :</t>
  </si>
  <si>
    <t>Avant</t>
  </si>
  <si>
    <t>Après</t>
  </si>
  <si>
    <t>PFA</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</si>
  <si>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</si>
  <si>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</si>
  <si>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</si>
  <si>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</si>
  <si>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</si>
  <si>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</si>
  <si>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</si>
  <si>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</si>
  <si>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</si>
  <si>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</si>
  <si>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</si>
  <si>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</si>
  <si>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</si>
  <si>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</si>
  <si>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</si>
  <si>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</si>
  <si>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</si>
  <si>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</si>
  <si>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</si>
  <si>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</si>
  <si>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</si>
  <si>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</si>
  <si>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</si>
  <si>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</si>
  <si>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</si>
  <si>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</si>
  <si>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</si>
  <si>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</si>
  <si>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</si>
  <si>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</si>
  <si>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</si>
  <si>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</si>
  <si>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</si>
  <si>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</si>
  <si>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</si>
  <si>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</si>
  <si>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</si>
  <si>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</si>
  <si>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</si>
  <si>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</si>
  <si>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</si>
  <si>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</si>
  <si>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</si>
  <si>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</si>
  <si>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</si>
  <si>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</si>
  <si>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</si>
  <si>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</si>
  <si>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</si>
  <si>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</si>
  <si>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</si>
  <si>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</si>
  <si>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</si>
  <si>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</si>
  <si>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</si>
  <si>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</si>
  <si>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</si>
  <si>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</si>
  <si>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</si>
  <si>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</si>
  <si>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</si>
  <si>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</si>
  <si>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</si>
  <si>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</si>
  <si>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</si>
  <si>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</si>
  <si>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</si>
  <si>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</si>
  <si>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</si>
  <si>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</si>
  <si>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</si>
  <si>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</si>
  <si>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</si>
  <si>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</si>
  <si>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</si>
  <si>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</si>
  <si>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</si>
  <si>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</si>
  <si>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</si>
  <si>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</si>
  <si>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</si>
  <si>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</si>
  <si>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</si>
  <si>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</si>
  <si>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</si>
  <si>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</si>
  <si>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</si>
  <si>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</si>
  <si>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</si>
  <si>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</si>
  <si>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</si>
  <si>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</si>
  <si>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</si>
  <si>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</si>
  <si>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</si>
  <si>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</si>
  <si>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</si>
  <si>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</si>
  <si>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</si>
  <si>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</si>
  <si>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</si>
  <si>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</si>
  <si>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</si>
  <si>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</si>
  <si>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</si>
  <si>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</si>
  <si>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</si>
  <si>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</si>
  <si>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</si>
  <si>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</si>
  <si>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</si>
  <si>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</si>
  <si>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</si>
  <si>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</si>
  <si>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</si>
  <si>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</si>
  <si>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</si>
  <si>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</si>
  <si>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l'autre parent vous appelle par votre prénom devant votre enfant (versus maman ou papa) ?</t>
  </si>
  <si>
    <t>Dans quelle mesure diriez-vous que l’autre parent jette les cadeaux (anniveraire, Noël) ou proscrit les photographies de vous dans sa demeure ?</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</si>
  <si>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</si>
  <si>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</si>
  <si>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</si>
  <si>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</si>
  <si>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</si>
  <si>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</si>
  <si>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</si>
  <si>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</si>
  <si>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</si>
  <si>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</si>
  <si>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</si>
  <si>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</si>
  <si>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</si>
  <si>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 xml:space="preserve">Cette valeur est le S.O. </t>
  </si>
  <si>
    <t>LEGENDE</t>
  </si>
  <si>
    <t>Jeune adulte autonome</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</si>
  <si>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</si>
  <si>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</si>
  <si>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</si>
  <si>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</si>
  <si>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</si>
  <si>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</si>
  <si>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</si>
  <si>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</si>
  <si>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</si>
  <si>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</si>
  <si>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</si>
  <si>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</si>
  <si>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</si>
  <si>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</si>
  <si>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</si>
  <si>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</si>
  <si>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</si>
  <si>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</si>
  <si>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</si>
  <si>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</si>
  <si>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</si>
  <si>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</si>
  <si>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</si>
  <si>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</si>
  <si>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</si>
  <si>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</si>
  <si>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</si>
  <si>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</si>
  <si>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</si>
  <si>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</si>
  <si>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</si>
  <si>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</si>
  <si>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</si>
  <si>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</si>
  <si>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</si>
  <si>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</si>
  <si>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</si>
  <si>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</si>
  <si>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</si>
  <si>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</si>
  <si>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</si>
  <si>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</si>
  <si>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</si>
  <si>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</si>
  <si>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</si>
  <si>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</si>
  <si>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</si>
  <si>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</si>
  <si>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</si>
  <si>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</si>
  <si>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</si>
  <si>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</si>
  <si>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</si>
  <si>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</si>
  <si>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</si>
  <si>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</si>
  <si>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</si>
  <si>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</si>
  <si>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</si>
  <si>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</si>
  <si>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</si>
  <si>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</si>
  <si>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</si>
  <si>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</si>
  <si>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</si>
  <si>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</si>
  <si>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</si>
  <si>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</si>
  <si>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</si>
  <si>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E14a</t>
  </si>
  <si>
    <t xml:space="preserve">Êtes-vous en processus juridique actuellement ? 
</t>
  </si>
  <si>
    <t>&lt; 9 mois
Entre 9 mois et 2 ans
Entre 2 ans et 5 ans
Entre 5 ans et 10 ans
Plus de 10 ans</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</si>
  <si>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</si>
  <si>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</si>
  <si>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</si>
  <si>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</si>
  <si>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</si>
  <si>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</si>
  <si>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</si>
  <si>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</si>
  <si>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</si>
  <si>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</si>
  <si>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</si>
  <si>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</si>
  <si>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</si>
  <si>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</si>
  <si>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</si>
  <si>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</si>
  <si>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</si>
  <si>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</si>
  <si>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</si>
  <si>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MAX</t>
  </si>
  <si>
    <t>Toujours</t>
  </si>
  <si>
    <t>Détérioration</t>
  </si>
  <si>
    <t>Pas de changement</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</si>
  <si>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</si>
  <si>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</si>
  <si>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</si>
  <si>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</si>
  <si>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</si>
  <si>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</si>
  <si>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</si>
  <si>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</si>
  <si>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</si>
  <si>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</si>
  <si>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</si>
  <si>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</si>
  <si>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</si>
  <si>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</si>
  <si>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</si>
  <si>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</si>
  <si>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</si>
  <si>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</si>
  <si>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</si>
  <si>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</si>
  <si>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</si>
  <si>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</si>
  <si>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</si>
  <si>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</si>
  <si>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</si>
  <si>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</si>
  <si>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</si>
  <si>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</si>
  <si>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</si>
  <si>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</si>
  <si>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</si>
  <si>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</si>
  <si>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</si>
  <si>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</si>
  <si>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</si>
  <si>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</si>
  <si>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</si>
  <si>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</si>
  <si>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</si>
  <si>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</si>
  <si>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</si>
  <si>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</si>
  <si>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</si>
  <si>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</si>
  <si>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</si>
  <si>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</si>
  <si>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</si>
  <si>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</si>
  <si>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</si>
  <si>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</si>
  <si>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</si>
  <si>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</si>
  <si>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</si>
  <si>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</si>
  <si>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</si>
  <si>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</si>
  <si>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</si>
  <si>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</si>
  <si>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</si>
  <si>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</si>
  <si>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</si>
  <si>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</si>
  <si>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</si>
  <si>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</si>
  <si>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</si>
  <si>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</si>
  <si>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</si>
  <si>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</si>
  <si>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</si>
  <si>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</si>
  <si>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</si>
  <si>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</si>
  <si>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</si>
  <si>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</si>
  <si>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</si>
  <si>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</si>
  <si>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</si>
  <si>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</si>
  <si>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</si>
  <si>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</si>
  <si>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</si>
  <si>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</si>
  <si>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</si>
  <si>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</si>
  <si>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</si>
  <si>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</si>
  <si>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</si>
  <si>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</si>
  <si>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</si>
  <si>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</si>
  <si>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</si>
  <si>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</si>
  <si>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</si>
  <si>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</si>
  <si>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</si>
  <si>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</si>
  <si>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</si>
  <si>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</si>
  <si>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</si>
  <si>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</si>
  <si>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</si>
  <si>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</si>
  <si>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</si>
  <si>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</si>
  <si>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</si>
  <si>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</si>
  <si>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</si>
  <si>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Demande / force l'enfant à choisir</t>
  </si>
  <si>
    <t>Liberté du choix de l'enfant</t>
  </si>
  <si>
    <t>Les différentiels indiquent uniquement s'il y a eu des changements significatifs entre l'après et avant lors de la vie commune.</t>
  </si>
  <si>
    <t>VC</t>
  </si>
  <si>
    <t>CL</t>
  </si>
  <si>
    <t>AP</t>
  </si>
  <si>
    <t>CSS</t>
  </si>
  <si>
    <t>Échelle de résultat :</t>
  </si>
  <si>
    <t>Il n'est pas possible de statuer puisque l'historique est absent</t>
  </si>
  <si>
    <t xml:space="preserve">L'analyse des réponses démontreront que depuis la séparation, </t>
  </si>
  <si>
    <t>Max PFA</t>
  </si>
  <si>
    <t>Max NC</t>
  </si>
  <si>
    <t>Max Enf</t>
  </si>
  <si>
    <t>F * I</t>
  </si>
  <si>
    <t>ne respecte pas les heures entendues</t>
  </si>
  <si>
    <t>change les horaires à la faveur de l'autre parent</t>
  </si>
  <si>
    <t>impose des changements d'horaire sans consultation auprès de l'autre</t>
  </si>
  <si>
    <t>Max PFA &amp; NC</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</si>
  <si>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</si>
  <si>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</si>
  <si>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</si>
  <si>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</si>
  <si>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</si>
  <si>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</si>
  <si>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</si>
  <si>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</si>
  <si>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</si>
  <si>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</si>
  <si>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</si>
  <si>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</si>
  <si>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</si>
  <si>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</si>
  <si>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</si>
  <si>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</si>
  <si>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</si>
  <si>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</si>
  <si>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</si>
  <si>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</si>
  <si>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</si>
  <si>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</si>
  <si>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</si>
  <si>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</si>
  <si>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</si>
  <si>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</si>
  <si>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</si>
  <si>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</si>
  <si>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</si>
  <si>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</si>
  <si>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</si>
  <si>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</si>
  <si>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</si>
  <si>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</si>
  <si>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</si>
  <si>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</si>
  <si>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</si>
  <si>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</si>
  <si>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</si>
  <si>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</si>
  <si>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</si>
  <si>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</si>
  <si>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</si>
  <si>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</si>
  <si>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</si>
  <si>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</si>
  <si>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</si>
  <si>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</si>
  <si>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</si>
  <si>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</si>
  <si>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</si>
  <si>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</si>
  <si>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</si>
  <si>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</si>
  <si>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</si>
  <si>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Écart</t>
  </si>
  <si>
    <t>Conseils</t>
  </si>
  <si>
    <t>Prise de décision sans consentement</t>
  </si>
  <si>
    <t>Reproche et dénigrement de l'autre devant l'enfant</t>
  </si>
  <si>
    <t>Réaction en présence de l'autre parent</t>
  </si>
  <si>
    <t>Intervention à la suite d'un retour de garde</t>
  </si>
  <si>
    <t>PFA11a</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</si>
  <si>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</si>
  <si>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</si>
  <si>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</si>
  <si>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</si>
  <si>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</si>
  <si>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</si>
  <si>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Voir Fichier " Modèle Calcul Miroir</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</si>
  <si>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</si>
  <si>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</si>
  <si>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</si>
  <si>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</si>
  <si>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</si>
  <si>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</si>
  <si>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</si>
  <si>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</si>
  <si>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</si>
  <si>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</si>
  <si>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</si>
  <si>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</si>
  <si>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</si>
  <si>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</si>
  <si>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</si>
  <si>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</si>
  <si>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</si>
  <si>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</si>
  <si>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</si>
  <si>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</si>
  <si>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</si>
  <si>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</si>
  <si>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</si>
  <si>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</si>
  <si>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</si>
  <si>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</si>
  <si>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</si>
  <si>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</si>
  <si>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</si>
  <si>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</si>
  <si>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</si>
  <si>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</si>
  <si>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</si>
  <si>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</si>
  <si>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</si>
  <si>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</si>
  <si>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</si>
  <si>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</si>
  <si>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</si>
  <si>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</si>
  <si>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</si>
  <si>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</si>
  <si>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</si>
  <si>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</si>
  <si>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</si>
  <si>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</si>
  <si>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</si>
  <si>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</si>
  <si>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</si>
  <si>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</si>
  <si>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</si>
  <si>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</si>
  <si>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</si>
  <si>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</si>
  <si>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</si>
  <si>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</si>
  <si>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</si>
  <si>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</si>
  <si>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</si>
  <si>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</si>
  <si>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</si>
  <si>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</si>
  <si>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</si>
  <si>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</si>
  <si>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</si>
  <si>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</si>
  <si>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 Pour Data seulement (fins d'études)</t>
  </si>
  <si>
    <t xml:space="preserve"> </t>
  </si>
  <si>
    <t>AP_F</t>
  </si>
  <si>
    <t>CL_F</t>
  </si>
  <si>
    <t>CSS_F</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</si>
  <si>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</si>
  <si>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</si>
  <si>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</si>
  <si>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</si>
  <si>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</si>
  <si>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</si>
  <si>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</si>
  <si>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</si>
  <si>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</si>
  <si>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</si>
  <si>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</si>
  <si>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</si>
  <si>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</si>
  <si>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</si>
  <si>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</si>
  <si>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</si>
  <si>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</si>
  <si>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</si>
  <si>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</si>
  <si>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</si>
  <si>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</si>
  <si>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</si>
  <si>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</si>
  <si>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</si>
  <si>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</si>
  <si>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</si>
  <si>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</si>
  <si>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</si>
  <si>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</si>
  <si>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</si>
  <si>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</si>
  <si>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</si>
  <si>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</si>
  <si>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</si>
  <si>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</si>
  <si>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</si>
  <si>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</si>
  <si>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</si>
  <si>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</si>
  <si>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</si>
  <si>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</si>
  <si>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</si>
  <si>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</si>
  <si>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</si>
  <si>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</si>
  <si>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</si>
  <si>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</si>
  <si>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</si>
  <si>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</si>
  <si>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</si>
  <si>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</si>
  <si>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</si>
  <si>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</si>
  <si>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</si>
  <si>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</si>
  <si>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</si>
  <si>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</si>
  <si>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</si>
  <si>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</si>
  <si>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</si>
  <si>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</si>
  <si>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</si>
  <si>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</si>
  <si>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</si>
  <si>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</si>
  <si>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</si>
  <si>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</si>
  <si>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</si>
  <si>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</si>
  <si>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</si>
  <si>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</si>
  <si>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</si>
  <si>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</si>
  <si>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</si>
  <si>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</si>
  <si>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</si>
  <si>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</si>
  <si>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</si>
  <si>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</si>
  <si>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</si>
  <si>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</si>
  <si>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</si>
  <si>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</si>
  <si>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</si>
  <si>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</si>
  <si>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</si>
  <si>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</si>
  <si>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</si>
  <si>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</si>
  <si>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</si>
  <si>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</si>
  <si>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</si>
  <si>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</si>
  <si>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</si>
  <si>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</si>
  <si>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</si>
  <si>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</si>
  <si>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</si>
  <si>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</si>
  <si>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</si>
  <si>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</si>
  <si>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</si>
  <si>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</si>
  <si>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</si>
  <si>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</si>
  <si>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</si>
  <si>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</si>
  <si>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</si>
  <si>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</si>
  <si>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</si>
  <si>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</si>
  <si>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</si>
  <si>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</si>
  <si>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</si>
  <si>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</si>
  <si>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</si>
  <si>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</si>
  <si>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</si>
  <si>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</si>
  <si>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</si>
  <si>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</si>
  <si>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</si>
  <si>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</si>
  <si>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</si>
  <si>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</si>
  <si>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</si>
  <si>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</si>
  <si>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</si>
  <si>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</si>
  <si>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</si>
  <si>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</si>
  <si>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</si>
  <si>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</si>
  <si>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</si>
  <si>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</si>
  <si>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</si>
  <si>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</si>
  <si>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</si>
  <si>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</si>
  <si>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</si>
  <si>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</si>
  <si>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</si>
  <si>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</si>
  <si>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</si>
  <si>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</si>
  <si>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</si>
  <si>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</si>
  <si>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</si>
  <si>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</si>
  <si>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</si>
  <si>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</si>
  <si>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</si>
  <si>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</si>
  <si>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</si>
  <si>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</si>
  <si>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</si>
  <si>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</si>
  <si>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</si>
  <si>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</si>
  <si>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</si>
  <si>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</si>
  <si>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</si>
  <si>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</si>
  <si>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</si>
  <si>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</si>
  <si>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</si>
  <si>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</si>
  <si>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</si>
  <si>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</si>
  <si>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</si>
  <si>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</si>
  <si>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</si>
  <si>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</si>
  <si>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</si>
  <si>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</si>
  <si>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</si>
  <si>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</si>
  <si>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</si>
  <si>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</si>
  <si>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</si>
  <si>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</si>
  <si>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</si>
  <si>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</si>
  <si>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</si>
  <si>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</si>
  <si>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</si>
  <si>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</si>
  <si>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</si>
  <si>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</si>
  <si>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</si>
  <si>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</si>
  <si>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</si>
  <si>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</si>
  <si>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</si>
  <si>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</si>
  <si>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</si>
  <si>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</si>
  <si>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</si>
  <si>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</si>
  <si>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</si>
  <si>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</si>
  <si>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</si>
  <si>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</si>
  <si>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</si>
  <si>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</si>
  <si>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</si>
  <si>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</si>
  <si>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</si>
  <si>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</si>
  <si>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</si>
  <si>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</si>
  <si>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</si>
  <si>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</si>
  <si>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</si>
  <si>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</si>
  <si>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</si>
  <si>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</si>
  <si>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</si>
  <si>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</si>
  <si>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</si>
  <si>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</si>
  <si>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</si>
  <si>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</si>
  <si>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</si>
  <si>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</si>
  <si>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</si>
  <si>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</si>
  <si>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</si>
  <si>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</si>
  <si>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</si>
  <si>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</si>
  <si>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</si>
  <si>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</si>
  <si>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</si>
  <si>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</si>
  <si>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</si>
  <si>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</si>
  <si>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</si>
  <si>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</si>
  <si>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</si>
  <si>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</si>
  <si>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</si>
  <si>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</si>
  <si>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</si>
  <si>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</si>
  <si>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</si>
  <si>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</si>
  <si>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</si>
  <si>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</si>
  <si>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</si>
  <si>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ACTION - RÉACTION</t>
  </si>
  <si>
    <t>MIROIR</t>
  </si>
  <si>
    <t>Action-Réaction</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</si>
  <si>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</si>
  <si>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</si>
  <si>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</si>
  <si>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</si>
  <si>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</si>
  <si>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</si>
  <si>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</si>
  <si>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</si>
  <si>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</si>
  <si>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</si>
  <si>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</si>
  <si>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</si>
  <si>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</si>
  <si>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</si>
  <si>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Compromis à faire</t>
  </si>
  <si>
    <t>Questions qui démontre des intentions possibles d'exclusion :</t>
  </si>
  <si>
    <t>Score</t>
  </si>
  <si>
    <t>Score Max</t>
  </si>
  <si>
    <t>Possible</t>
  </si>
  <si>
    <t>Probable</t>
  </si>
  <si>
    <t>Aucune</t>
  </si>
  <si>
    <t>intensité</t>
  </si>
  <si>
    <t>1 à 5</t>
  </si>
  <si>
    <t>INDICE D'EXCLUSION</t>
  </si>
  <si>
    <t>1 à 2</t>
  </si>
  <si>
    <t>3 à 6</t>
  </si>
  <si>
    <t>Baromètres Parents</t>
  </si>
  <si>
    <t>Baromètres Enfants</t>
  </si>
  <si>
    <t>CEV</t>
  </si>
  <si>
    <t>ne peut transporter ses objets d'une demeure à l'autre</t>
  </si>
  <si>
    <t>ne permet pas les objets de l'autre parent chez lui</t>
  </si>
  <si>
    <t>Respect de l'ordonnance de garde</t>
  </si>
  <si>
    <t>Fais suite soit au formulaire du NC ou du PFA si pas de NC</t>
  </si>
  <si>
    <t>PFA39</t>
  </si>
  <si>
    <t>7 à 10</t>
  </si>
  <si>
    <t>Questions de contexte</t>
  </si>
  <si>
    <t>4 à 6</t>
  </si>
  <si>
    <t>E37</t>
  </si>
  <si>
    <t>E37a</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</si>
  <si>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</si>
  <si>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</si>
  <si>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</si>
  <si>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</si>
  <si>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</si>
  <si>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</si>
  <si>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</si>
  <si>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</si>
  <si>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</si>
  <si>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</si>
  <si>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</si>
  <si>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</si>
  <si>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</si>
  <si>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</si>
  <si>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</si>
  <si>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</si>
  <si>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1 à 3</t>
  </si>
  <si>
    <t>2 à 6</t>
  </si>
  <si>
    <t>0 à 5</t>
  </si>
  <si>
    <t>Absent</t>
  </si>
  <si>
    <t>CONTEXTE À RISQUE de CONFLIT</t>
  </si>
  <si>
    <t>Risque absent</t>
  </si>
  <si>
    <t>Risque faible</t>
  </si>
  <si>
    <t>Risque modéré</t>
  </si>
  <si>
    <t>Risque élevé</t>
  </si>
  <si>
    <t>Indice de risque contextuelle:</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</si>
  <si>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</si>
  <si>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</si>
  <si>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</si>
  <si>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</si>
  <si>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</si>
  <si>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</si>
  <si>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</si>
  <si>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</si>
  <si>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</si>
  <si>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Au moment de retouner chez l'autre parent (changement de garde), votre enfant vous paraît :</t>
  </si>
  <si>
    <t>PFA40</t>
  </si>
  <si>
    <t>Dynamique d'AP</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</si>
  <si>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</si>
  <si>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</si>
  <si>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</si>
  <si>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</si>
  <si>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</si>
  <si>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</si>
  <si>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</si>
  <si>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</si>
  <si>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</si>
  <si>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</si>
  <si>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</si>
  <si>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</si>
  <si>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</si>
  <si>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</si>
  <si>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</si>
  <si>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</si>
  <si>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</si>
  <si>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</si>
  <si>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</si>
  <si>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</si>
  <si>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</si>
  <si>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</si>
  <si>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</si>
  <si>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</si>
  <si>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</si>
  <si>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</si>
  <si>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</si>
  <si>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</si>
  <si>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</si>
  <si>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</si>
  <si>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</si>
  <si>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</si>
  <si>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</si>
  <si>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</si>
  <si>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</si>
  <si>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</si>
  <si>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</si>
  <si>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</si>
  <si>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</si>
  <si>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</si>
  <si>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</si>
  <si>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</si>
  <si>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</si>
  <si>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</si>
  <si>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</si>
  <si>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</si>
  <si>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</si>
  <si>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</si>
  <si>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</si>
  <si>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</si>
  <si>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</si>
  <si>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H04a1</t>
  </si>
  <si>
    <t>PFA20a1</t>
  </si>
  <si>
    <t>PFA20a1a</t>
  </si>
  <si>
    <t>J'ai une très bonne relation</t>
  </si>
  <si>
    <t>J'ai une bonne relation</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</si>
  <si>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</si>
  <si>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</si>
  <si>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</si>
  <si>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</si>
  <si>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</si>
  <si>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</si>
  <si>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</si>
  <si>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</si>
  <si>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</si>
  <si>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</si>
  <si>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</si>
  <si>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</si>
  <si>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</si>
  <si>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</si>
  <si>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</si>
  <si>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</si>
  <si>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</si>
  <si>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</si>
  <si>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</si>
  <si>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</si>
  <si>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</si>
  <si>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</si>
  <si>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</si>
  <si>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</si>
  <si>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</si>
  <si>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</si>
  <si>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</si>
  <si>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</si>
  <si>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</si>
  <si>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</si>
  <si>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</si>
  <si>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</si>
  <si>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</si>
  <si>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</si>
  <si>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</si>
  <si>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</si>
  <si>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</si>
  <si>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</si>
  <si>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</si>
  <si>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</si>
  <si>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</si>
  <si>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</si>
  <si>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</si>
  <si>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</si>
  <si>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</si>
  <si>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</si>
  <si>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</si>
  <si>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</si>
  <si>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</si>
  <si>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</si>
  <si>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</si>
  <si>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</si>
  <si>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</si>
  <si>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</si>
  <si>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</si>
  <si>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</si>
  <si>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</si>
  <si>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</si>
  <si>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</si>
  <si>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</si>
  <si>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</si>
  <si>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</si>
  <si>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</si>
  <si>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</si>
  <si>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</si>
  <si>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</si>
  <si>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</si>
  <si>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</si>
  <si>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</si>
  <si>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</si>
  <si>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</si>
  <si>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</si>
  <si>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</si>
  <si>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</si>
  <si>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</si>
  <si>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</si>
  <si>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</si>
  <si>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</si>
  <si>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</si>
  <si>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</si>
  <si>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</si>
  <si>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</si>
  <si>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</si>
  <si>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</si>
  <si>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</si>
  <si>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</si>
  <si>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</si>
  <si>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</si>
  <si>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</si>
  <si>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</si>
  <si>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</si>
  <si>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</si>
  <si>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</si>
  <si>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</si>
  <si>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</si>
  <si>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</si>
  <si>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</si>
  <si>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</si>
  <si>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</si>
  <si>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</si>
  <si>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</si>
  <si>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</si>
  <si>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</si>
  <si>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</si>
  <si>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</si>
  <si>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</si>
  <si>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</si>
  <si>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</si>
  <si>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</si>
  <si>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</si>
  <si>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</si>
  <si>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</si>
  <si>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</si>
  <si>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</si>
  <si>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</si>
  <si>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</si>
  <si>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</si>
  <si>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</si>
  <si>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</si>
  <si>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</si>
  <si>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</si>
  <si>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</si>
  <si>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</si>
  <si>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</si>
  <si>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</si>
  <si>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</si>
  <si>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</si>
  <si>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</si>
  <si>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</si>
  <si>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</si>
  <si>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</si>
  <si>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</si>
  <si>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</si>
  <si>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</si>
  <si>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</si>
  <si>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</si>
  <si>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</si>
  <si>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</si>
  <si>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</si>
  <si>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</si>
  <si>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</si>
  <si>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</si>
  <si>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</si>
  <si>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</si>
  <si>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</si>
  <si>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</si>
  <si>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</si>
  <si>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</si>
  <si>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</si>
  <si>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</si>
  <si>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</si>
  <si>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</si>
  <si>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</si>
  <si>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</si>
  <si>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</si>
  <si>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</si>
  <si>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</si>
  <si>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</si>
  <si>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</si>
  <si>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</si>
  <si>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</si>
  <si>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</si>
  <si>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</si>
  <si>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</si>
  <si>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</si>
  <si>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</si>
  <si>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</si>
  <si>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</si>
  <si>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</si>
  <si>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</si>
  <si>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</si>
  <si>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Changement</t>
  </si>
  <si>
    <t>N'hésitez pas à consulter pour avoir de l'aide pour l'enfant</t>
  </si>
  <si>
    <t>E27|E37</t>
  </si>
  <si>
    <t>Changement au niveau du comportement de votre enfant à son retour et départ de garde?</t>
  </si>
  <si>
    <t>Retour de garde</t>
  </si>
  <si>
    <t>Départ chez l'autre</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</si>
  <si>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</si>
  <si>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</si>
  <si>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</si>
  <si>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</si>
  <si>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</si>
  <si>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</si>
  <si>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</si>
  <si>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</si>
  <si>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</si>
  <si>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</si>
  <si>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</si>
  <si>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</si>
  <si>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</si>
  <si>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</si>
  <si>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</si>
  <si>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</si>
  <si>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</si>
  <si>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</si>
  <si>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</si>
  <si>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</si>
  <si>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</si>
  <si>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</si>
  <si>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</si>
  <si>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</si>
  <si>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</si>
  <si>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</si>
  <si>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</si>
  <si>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</si>
  <si>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</si>
  <si>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</si>
  <si>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</si>
  <si>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</si>
  <si>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</si>
  <si>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</si>
  <si>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</si>
  <si>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</si>
  <si>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</si>
  <si>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</si>
  <si>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</si>
  <si>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</si>
  <si>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</si>
  <si>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</si>
  <si>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</si>
  <si>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</si>
  <si>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</si>
  <si>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</si>
  <si>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</si>
  <si>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</si>
  <si>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</si>
  <si>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</si>
  <si>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</si>
  <si>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</si>
  <si>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</si>
  <si>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</si>
  <si>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</si>
  <si>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</si>
  <si>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</si>
  <si>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</si>
  <si>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</si>
  <si>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</si>
  <si>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</si>
  <si>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</si>
  <si>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</si>
  <si>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</si>
  <si>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</si>
  <si>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</si>
  <si>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</si>
  <si>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</si>
  <si>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</si>
  <si>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</si>
  <si>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</si>
  <si>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</si>
  <si>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</si>
  <si>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</si>
  <si>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</si>
  <si>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</si>
  <si>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</si>
  <si>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</si>
  <si>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</si>
  <si>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</si>
  <si>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</si>
  <si>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</si>
  <si>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</si>
  <si>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</si>
  <si>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</si>
  <si>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</si>
  <si>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</si>
  <si>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</si>
  <si>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</si>
  <si>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</si>
  <si>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</si>
  <si>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</si>
  <si>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</si>
  <si>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</si>
  <si>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</si>
  <si>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</si>
  <si>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</si>
  <si>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</si>
  <si>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</si>
  <si>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</si>
  <si>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</si>
  <si>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</si>
  <si>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</si>
  <si>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</si>
  <si>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</si>
  <si>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</si>
  <si>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</si>
  <si>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</si>
  <si>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</si>
  <si>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</si>
  <si>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</si>
  <si>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</si>
  <si>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</si>
  <si>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</si>
  <si>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</si>
  <si>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</si>
  <si>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</si>
  <si>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</si>
  <si>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</si>
  <si>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</si>
  <si>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</si>
  <si>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</si>
  <si>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</si>
  <si>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</si>
  <si>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</si>
  <si>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</si>
  <si>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</si>
  <si>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</si>
  <si>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</si>
  <si>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</si>
  <si>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</si>
  <si>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 xml:space="preserve">Arrive-t-il que l'autre parent s'impose sa présence lors de fêtes ou d'activités destinés aux enfants ? </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</si>
  <si>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</si>
  <si>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</si>
  <si>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</si>
  <si>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</si>
  <si>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</si>
  <si>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</si>
  <si>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</si>
  <si>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</si>
  <si>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</si>
  <si>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</si>
  <si>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</si>
  <si>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</si>
  <si>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</si>
  <si>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</si>
  <si>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</si>
  <si>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</si>
  <si>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</si>
  <si>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</si>
  <si>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</si>
  <si>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</si>
  <si>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</si>
  <si>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</si>
  <si>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</si>
  <si>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</si>
  <si>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</si>
  <si>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</si>
  <si>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</si>
  <si>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</si>
  <si>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</si>
  <si>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</si>
  <si>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</si>
  <si>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</si>
  <si>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</si>
  <si>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</si>
  <si>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</si>
  <si>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</si>
  <si>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</si>
  <si>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</si>
  <si>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</si>
  <si>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</si>
  <si>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</si>
  <si>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</si>
  <si>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</si>
  <si>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</si>
  <si>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</si>
  <si>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</si>
  <si>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</si>
  <si>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</si>
  <si>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</si>
  <si>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</si>
  <si>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</si>
  <si>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</si>
  <si>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</si>
  <si>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</si>
  <si>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</si>
  <si>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</si>
  <si>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</si>
  <si>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</si>
  <si>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</si>
  <si>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</si>
  <si>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</si>
  <si>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</si>
  <si>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</si>
  <si>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</si>
  <si>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</si>
  <si>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</si>
  <si>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</si>
  <si>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</si>
  <si>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</si>
  <si>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</si>
  <si>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</si>
  <si>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</si>
  <si>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</si>
  <si>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</si>
  <si>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</si>
  <si>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</si>
  <si>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</si>
  <si>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aucun changement</t>
  </si>
  <si>
    <t>Conclusion</t>
  </si>
  <si>
    <t>Échelle (du minimum au maximum)</t>
  </si>
  <si>
    <t>Avant la séparation</t>
  </si>
  <si>
    <t>Catégorie chez le parent</t>
  </si>
  <si>
    <t>Emotif</t>
  </si>
  <si>
    <t>Coparent</t>
  </si>
  <si>
    <t>Acteurs | Sévérité</t>
  </si>
  <si>
    <t>Choix de la catégorie =&gt;</t>
  </si>
  <si>
    <t>Mots-clés pour les baromètres pour catégorie et CEV</t>
  </si>
  <si>
    <t>Laisse l'enfant le droit de choisir</t>
  </si>
  <si>
    <t>vous salue lorsqu'il vous croise à l'école</t>
  </si>
  <si>
    <t>Le nouveau conjoint.e vous salue lorsqu'il vous croise à l'école</t>
  </si>
  <si>
    <t>dénigre vos compétences parentales par texto, courriel, etc.</t>
  </si>
  <si>
    <t>dénigre vos compétences parentales devant l'enfant</t>
  </si>
  <si>
    <t>Communique fréquemment avec l'enfant lorsqu'il est chez l'autre</t>
  </si>
  <si>
    <t>Prend des décision sans consulter l'autre</t>
  </si>
  <si>
    <t>Demande à l'enfant de faire les messages</t>
  </si>
  <si>
    <t>Confie à l'enfant ses peines</t>
  </si>
  <si>
    <t>Manque de sécurité chez l'autre</t>
  </si>
  <si>
    <t>Déforme les souvenirs</t>
  </si>
  <si>
    <t>Demande le respect des désirs de l'enfant</t>
  </si>
  <si>
    <t>Questionne l'enfant au retour de garde</t>
  </si>
  <si>
    <t>Dénigre l'autre devant l'enfant</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</si>
  <si>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</si>
  <si>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</si>
  <si>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</si>
  <si>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</si>
  <si>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Bloque les communications de l'entourage de l'enfant à l'autre parent</t>
  </si>
  <si>
    <t xml:space="preserve">Contrôle les conversations téléphoniques </t>
  </si>
  <si>
    <t>Jette les objets qui représentent l'autre</t>
  </si>
  <si>
    <t>Incite l'enfant à choisir un des deux parents</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</si>
  <si>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</si>
  <si>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</si>
  <si>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</si>
  <si>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</si>
  <si>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</si>
  <si>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</si>
  <si>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</si>
  <si>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</si>
  <si>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</si>
  <si>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fragilise la relation de l'enfant avec l'autre parent</t>
  </si>
  <si>
    <t>Nouveau|nouvelle conjoint·e</t>
  </si>
  <si>
    <t>Comportements</t>
  </si>
  <si>
    <t>PFA05 et NC02</t>
  </si>
  <si>
    <t>PCR03 &amp; PFA10 &amp; NC03</t>
  </si>
  <si>
    <t>PCR04 &amp; PFA12</t>
  </si>
  <si>
    <t>Demande à l'enfant à choisir avec qui il veut vivre</t>
  </si>
  <si>
    <t>L'autre parent hausse le ton et impose sa vision</t>
  </si>
  <si>
    <t>PFA14 &amp; NC04b</t>
  </si>
  <si>
    <t>Fait des reproches à l'autre parent devant l'enfant</t>
  </si>
  <si>
    <t>PCR08 &amp; PFA18 &amp; NC12</t>
  </si>
  <si>
    <t>PFA16 &amp; NC07</t>
  </si>
  <si>
    <t>PFA16b1 &amp; NC07a</t>
  </si>
  <si>
    <t>PFA17 &amp; NC09</t>
  </si>
  <si>
    <t>PFA20a &amp; NC10</t>
  </si>
  <si>
    <t>PFA19a &amp; NC13</t>
  </si>
  <si>
    <t>PCR16a &amp; PFA31a</t>
  </si>
  <si>
    <t>Classification des comportements (A-R et miroir)selon les concepts AP, CL, CSS</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</si>
  <si>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</si>
  <si>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</si>
  <si>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</si>
  <si>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</si>
  <si>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</si>
  <si>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</si>
  <si>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</si>
  <si>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</si>
  <si>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</si>
  <si>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</si>
  <si>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</si>
  <si>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</si>
  <si>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</si>
  <si>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</si>
  <si>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</si>
  <si>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</si>
  <si>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</si>
  <si>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</si>
  <si>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</si>
  <si>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</si>
  <si>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</si>
  <si>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</si>
  <si>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</si>
  <si>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</si>
  <si>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</si>
  <si>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</si>
  <si>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</si>
  <si>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</si>
  <si>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</si>
  <si>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</si>
  <si>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</si>
  <si>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</si>
  <si>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</si>
  <si>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</si>
  <si>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</si>
  <si>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Demande un changement de garde</t>
  </si>
  <si>
    <t>Soulève qu'à 12 ans il pourra choisir sa garde</t>
  </si>
  <si>
    <t>Bloque les communications</t>
  </si>
  <si>
    <t>Refuse les contacts avec la famille élargie</t>
  </si>
  <si>
    <t>N'a pas la permission d'apporter ses objets de chez l'autre</t>
  </si>
  <si>
    <t>Ne peut transporter ses jouets et vêtements</t>
  </si>
  <si>
    <t>Porte des accusations de voler de l'argent</t>
  </si>
  <si>
    <t>Ne salue pas lors d'événements</t>
  </si>
  <si>
    <t>Pense qu'il a été abandonné</t>
  </si>
  <si>
    <t>Catégorisation des comportements des parents acteurs</t>
  </si>
  <si>
    <t>Cette indice révèle la sévérité de la réponse de l'enfant exposé à la dynamique familiale</t>
  </si>
  <si>
    <t>La réponse de l'enfant d'un point de vue comportemental, émotif et verbal.</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</si>
  <si>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</si>
  <si>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</si>
  <si>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</si>
  <si>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</si>
  <si>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</si>
  <si>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</si>
  <si>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</si>
  <si>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</si>
  <si>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</si>
  <si>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</si>
  <si>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</si>
  <si>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</si>
  <si>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</si>
  <si>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</si>
  <si>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</si>
  <si>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</si>
  <si>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Tableaux comparatifs entre le parent répondant et le coparent</t>
  </si>
  <si>
    <t>Intensité AP</t>
  </si>
  <si>
    <t>https://github.com/lflores/linear-gauge</t>
  </si>
  <si>
    <t>Gradient linéaire ou accélérateur (à tester)</t>
  </si>
  <si>
    <t>https://plotly.com/python/v3/linear-gauge-chart/#reference</t>
  </si>
  <si>
    <t>https://plotly.com/python/v3/linear-gauge-chart/</t>
  </si>
  <si>
    <t xml:space="preserve">Symptômes chez l'enfant </t>
  </si>
  <si>
    <t xml:space="preserve">Changement dans les relations entre les membres de la famille </t>
  </si>
  <si>
    <t>baromètre comparatif avant et changement (positif ou négatif)</t>
  </si>
  <si>
    <t xml:space="preserve">Indice d'exclusion parentale </t>
  </si>
  <si>
    <t>Indice d'exclusion parentale</t>
  </si>
  <si>
    <t>La réaction de l'enfant face à la dynamique</t>
  </si>
  <si>
    <t>Résultats</t>
  </si>
  <si>
    <t xml:space="preserve">Indice de sévérité des comportements de l'enfant sur le continuum de l'AP  </t>
  </si>
  <si>
    <t>Indice de sévérité chez l'enfant</t>
  </si>
  <si>
    <t>Indice de contribution chez le nouveau|nouvelle conjoint·e</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</si>
  <si>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</si>
  <si>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</si>
  <si>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</si>
  <si>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</si>
  <si>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</si>
  <si>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</si>
  <si>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</si>
  <si>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Exemple</t>
  </si>
  <si>
    <t>Baromètre comparatif avant et changement (positif ou négatif)</t>
  </si>
  <si>
    <t>Mettre chaque concept de couleur différente</t>
  </si>
  <si>
    <t>Échelle excellente à absente</t>
  </si>
  <si>
    <t>automutilation</t>
  </si>
  <si>
    <t>dépression</t>
  </si>
  <si>
    <t>idéation suicidaire</t>
  </si>
  <si>
    <t>Occasionnellement</t>
  </si>
  <si>
    <t xml:space="preserve">Souvent </t>
  </si>
  <si>
    <t>s.o.</t>
  </si>
  <si>
    <t>Si la résultat est S.O. ne pas schématiser le symptôme</t>
  </si>
  <si>
    <t>https://www.highcharts.com/demo/bar-negative-stack</t>
  </si>
  <si>
    <t>Puisque les symptômes d'automutilation, de dépression et d'idéation suicidaire sont binaires, nous allons les faire apparaitre en drapeau rouge avec l'image</t>
  </si>
  <si>
    <t>Attitude au moment des transferts de garde</t>
  </si>
  <si>
    <t>L'attitude et la santé de l'enfant</t>
  </si>
  <si>
    <t>Intervalle des entrées de données</t>
  </si>
  <si>
    <t>1 ou 2</t>
  </si>
  <si>
    <t>1 à 4</t>
  </si>
  <si>
    <t>chiffre (âge)</t>
  </si>
  <si>
    <t>0,1,2,4,7,10</t>
  </si>
  <si>
    <t>0 ou 1</t>
  </si>
  <si>
    <t>1 à 6</t>
  </si>
  <si>
    <t>1 à 7</t>
  </si>
  <si>
    <t>Zone d'interprétation</t>
  </si>
  <si>
    <t>Sous le minimum</t>
  </si>
  <si>
    <t>En rupture de lien</t>
  </si>
  <si>
    <t>Interprétation</t>
  </si>
  <si>
    <t>Minimum</t>
  </si>
  <si>
    <t>Seuil | Intervalle de la condition (stade avant&lt;= résultat&lt;=stade)</t>
  </si>
  <si>
    <t>A réflechir : Quelque soit le résulats, Si Q-B12 en rupture de lien, notion de "rejet actif, rejet passif, explicable, etc)</t>
  </si>
  <si>
    <t>Indice d'exclusion</t>
  </si>
  <si>
    <t>Aucun</t>
  </si>
  <si>
    <t>Résultat aux deux questions</t>
  </si>
  <si>
    <t xml:space="preserve">Il semble que la situation va bien. </t>
  </si>
  <si>
    <t>Surveillance sur certains cpts : voir autre baromètre, penser à refaire l'exercie ultérieurement</t>
  </si>
  <si>
    <t>Les deux parents &gt;=4</t>
  </si>
  <si>
    <t>Sommaire d'interprétation</t>
  </si>
  <si>
    <t>Le baromètre ne s'affichera pas</t>
  </si>
  <si>
    <t>Vert (1-3) CSS</t>
  </si>
  <si>
    <t>Vert (1-3) AP</t>
  </si>
  <si>
    <t>Rouge (4-6) CSS</t>
  </si>
  <si>
    <t>Rouge (4-6) AP</t>
  </si>
  <si>
    <t>Vert (1-3) CL</t>
  </si>
  <si>
    <t>Rouge (4-6) CL</t>
  </si>
  <si>
    <t>Valeurs et méthodes éducatives</t>
  </si>
  <si>
    <t>Comportements préjudiciables des parents</t>
  </si>
  <si>
    <t>Baromètres et comportements qualitatifs</t>
  </si>
  <si>
    <t>Risque cpts coparentalité</t>
  </si>
  <si>
    <t>Contribution du nouveau conjoint.e</t>
  </si>
  <si>
    <t>Changements chez l'enfant</t>
  </si>
  <si>
    <t>Indice de risque de conflit</t>
  </si>
  <si>
    <t>Convergence des valeurs et méthodes éducatives</t>
  </si>
  <si>
    <t>Comportements préjudiciables pour la coparentalité</t>
  </si>
  <si>
    <t>Changement relationnel de l'enfant avec les membres de la famille</t>
  </si>
  <si>
    <t>Changement dans la relation des parents depuis la séparation</t>
  </si>
  <si>
    <t>Changement dans la santé de l'enfant</t>
  </si>
  <si>
    <t>Changement dans l'attitude de l'enfant lors des changements de garde</t>
  </si>
  <si>
    <t>Exclusion</t>
  </si>
  <si>
    <t>Dynamique de comportements préjudiciables chez les parents</t>
  </si>
  <si>
    <t>Très faible</t>
  </si>
  <si>
    <t>Très élevé</t>
  </si>
  <si>
    <t>Si NC modéré et plus, extraire indice parent répondant</t>
  </si>
  <si>
    <t>A</t>
  </si>
  <si>
    <t>B</t>
  </si>
  <si>
    <t>D</t>
  </si>
  <si>
    <t>Rôle actif de l'enfant dans la dynamique</t>
  </si>
  <si>
    <t>Risque de conflit de coparentalité</t>
  </si>
  <si>
    <t>Composition</t>
  </si>
  <si>
    <t>Baromètre A</t>
  </si>
  <si>
    <t>Constats</t>
  </si>
  <si>
    <t>Drapeaux jaunes</t>
  </si>
  <si>
    <t>drapeaux rouges</t>
  </si>
  <si>
    <t>Liste des Comportements à l'étude</t>
  </si>
  <si>
    <t>Indice risque de conflit parental</t>
  </si>
  <si>
    <t>Miroir des deux parents</t>
  </si>
  <si>
    <t>Différentiel Relation</t>
  </si>
  <si>
    <t># de comportements</t>
  </si>
  <si>
    <t>Santé de l'enfant</t>
  </si>
  <si>
    <t>Attitude de l'enfant en transfert de garde</t>
  </si>
  <si>
    <t>Comportements indépendants de l'enfant</t>
  </si>
  <si>
    <t>X</t>
  </si>
  <si>
    <t>X Introspection</t>
  </si>
  <si>
    <t>Unique</t>
  </si>
  <si>
    <t>Oui| Non</t>
  </si>
  <si>
    <t>Drapeau rouge si PFA23a élevé</t>
  </si>
  <si>
    <t>Bulle d'info : ce que c'est? Et quoi faire avec l'analyse</t>
  </si>
  <si>
    <t>Note éducative : ce qui est bon et pourquoi et ce qui est moins bon et pourquoi</t>
  </si>
  <si>
    <t>Comportement typiquement AP</t>
  </si>
  <si>
    <t>Considérations</t>
  </si>
  <si>
    <t>Conseils à prévoir  dans le rapport final selon le traumatisme identifié ? 
Importance de comprendre / questionner ce qui cause la difficulté relationnelle. 
Comprendre le contexte et les comportements en jeu.</t>
  </si>
  <si>
    <t xml:space="preserve">À revoir. Selon âge de l'enfant, conditions ouverture et recommandations générales ciblées.  </t>
  </si>
  <si>
    <t xml:space="preserve">Soyez indulgent / il est important de reconnaître ou d'accepter qu'en coparentalité, il arrive que les méthodes éducatives soient légèrement différentes. Soyez flexibles. (pas rigides) Lâchez prise. </t>
  </si>
  <si>
    <t>1 &lt;=12</t>
  </si>
  <si>
    <t>Conseils : principe de base coparentalité : attn: enfant sensible à l'autorité parentale et au dénigrement indirect</t>
  </si>
  <si>
    <t xml:space="preserve">référencement ? Boîte à outils </t>
  </si>
  <si>
    <t>conseils</t>
  </si>
  <si>
    <t xml:space="preserve">conseils … principe de base </t>
  </si>
  <si>
    <t xml:space="preserve">important de mettre en exergue dans le r/r si sort positif </t>
  </si>
  <si>
    <t xml:space="preserve">référencement : trousse </t>
  </si>
  <si>
    <t xml:space="preserve">référencement : modèle de garde possible et à rpvilégier </t>
  </si>
  <si>
    <t>Priorités</t>
  </si>
  <si>
    <t/>
  </si>
  <si>
    <t xml:space="preserve">Il est possible de faire une analyse au nom d’un autre parent qui pourrait, par exemple, vivre une situation familiale délicate. Ainsi, vous pourriez répondre au nom d'un·e ami·e, d'un membre de votre famille ou de votre entourage, en tant que grand-parent, etc./n Il est donc important de spécifier au nom de qui vous répondez au questionnaire. </t>
  </si>
  <si>
    <t xml:space="preserve">Il est possible d’analyser votre dynamique familiale à différentes périodes, dans une perspective d’analyse comparative, afin de comprendre ou de suivre l’évolution de votre relation avec votre enfant (ex. : périodes pré et post-séparation, événements déclencheurs, etc.)./n Ainsi, vous pouvez ici choisir de faire une analyse au présent ou une analyse rétrospective afin de comparer différentes périodes et moments charnières de vie familiale. </t>
  </si>
  <si>
    <t>L’utilisation du terme autre parent fait référence à votre coparent, donc au parent de l'enfant qui fait l'objet de cette analyse.</t>
  </si>
  <si>
    <t xml:space="preserve">RAPPEL : Le questionnaire suivant tient compte d’un enfant à la fois. Si vous souhaitez faire une analyse comparative entre deux enfants de la même fratrie, vous devrez remplir un questionnaire (analyse) par enfant. Vous trouverez l’historique de vos analyses sous l’onglet Rapports.  </t>
  </si>
  <si>
    <t xml:space="preserve">Le questionnaire tient compte, le cas échéant, de la présence d’un nouveau ou d’une nouvelle conjoint·e au sein de la dynamique familiale. Ainsi, certaines questions s’afficheront au cours du questionnaire si vous indiquez que vous êtes en union ou en situation de famille recomposée. </t>
  </si>
  <si>
    <t>Le questionnaire tient compte, le cas échéant, de la présence d’un nouveau ou d’une nouvelle conjoint·e au sein de la dynamique familiale. Ainsi, certaines questions s’afficheront au cours du questionnaire si vous indiquez que l’autre parent (coparent) est en union ou en situation de famille recomposée.</t>
  </si>
  <si>
    <t>Le temps parental détermine la période pendant laquelle l'enfant est confié aux soins du parent./n Par entente de garde, nous entendons entente de coparentalité tacite (ex.: entente à l'amiable sans jugement de la Cour) ou explicite (ex.: jugement de la Cour). L'entente de garde comprend la répartition du temps parental (accès prévus).</t>
  </si>
  <si>
    <t>Par jugement, nous entendons toute entente entérinée par le tribunal : entente de médiation* ou conférence de règlement à l’amiable (CRA) ; entente de garde issue d'un jugement à la Cour, mesures provisoires (ordonnance de sauvegarde ou intérimaire) et audience sur le fond (procès). /n *Une entente de médiation non entérinée par la Cour n'a pas force de Loi. Pour plus d’information, veuillez vous référer à la section Ressources.</t>
  </si>
  <si>
    <t>Question à choix multiple. Veuillez svp cocher toutes les réponses qui s’appliquent à votre situation.</t>
  </si>
  <si>
    <t xml:space="preserve">Question à choix multiple. Veuillez svp cocher toutes les réponses qui s’appliquent à votre situation./n Par rupture de contact, nous entendons interruption de votre temps parental et absence physique de votre enfant. Une rupture de contact n’implique pas nécessairement une rupture de lien./n Par rupture de lien, nous entendons lien affectif avec votre enfant fragilisé ou déficient (absence de complicité, de confiance, d’attachement, etc.). Notez qu’une rupture de lien peut survenir sans qu’une rupture de contact soit impliquée.  </t>
  </si>
  <si>
    <t>RAPPEL : Il est possible de faire une analyse comparative entre membres d'une même fratrie. Si vous souhaitez analyser votre dynamique familiale et suivre l’évolution de votre relation avec vos enfants, vous devrez remplir un questionnaire (analyse) par enfant. Vous trouverez l’historique de vos analyses sous l’onglet Rapports.</t>
  </si>
  <si>
    <t xml:space="preserve">Question à choix multiple. Veuillez svp cocher toutes les réponses appropriées. </t>
  </si>
  <si>
    <t xml:space="preserve">Une relation fusionnelle peut se révéler à travers un ou plusieurs des comportements suivants : très grande complicité, voire alliance ; caractère exclusif de la relation ; comportements miroir ; l’enfant se sent fragilisé lorsque séparé de son parent ;  l’enfant est contrarié à l'idée d’être séparé de son parent ; la personnalité de l’enfant se fond à celle du parent ; etc. </t>
  </si>
  <si>
    <t>Notez qu’afin de faciliter la lecture des questions, nous utiliserons certaines formules abrégées. /n Ainsi, Dans quelle mesure cet énoncé s'applique-t-il à votre situation ? s’affichera désormais comme suit : Dans quelle mesure cet énoncé s'applique-t-il ?</t>
  </si>
  <si>
    <t>Il se peut que vous ne soyez pas en mesure de répondre à cette question en raison d'un contexte particulier ou d'une difficulté relationnelle avec votre enfant. Nous vous invitons dans ce cas à choisir la réponse sans objet.</t>
  </si>
  <si>
    <t xml:space="preserve">Une relation fusionnelle peut se révéler à travers un ou plusieurs des comportements suivants : très grande complicité, voire alliance ; caractère exclusif de la relation ; comportements miroir ; l’enfant trouve difficile ou contrariant d’être séparé de son parent ; l’enfant se sent fragilisé lorsque séparé de son parent ; la personnalité de l’enfant se fond à celle du parent ; etc. </t>
  </si>
  <si>
    <t>Le terme maladie mentale est parfois employé de manière préjudiciable par un parent pour discréditer l'autre parent. Il est important de ne pas stigmatiser un parent ou un enfant qui souffre d’un trouble de santé mentale. Chaque année, une personne sur cinq est confrontée à un problème de santé mentale ou à une maladie mentale./n Réf. : https://commissionsantementale.ca</t>
  </si>
  <si>
    <t>Il s'agit ici d'évaluer comment l’autre parent perçoit votre valeur parentale et l’importance de votre présence et de votre rôle (concret et symbolique) auprès de votre enfant. Il n’est donc pas question, ici, de compétences parentales, mais bien de valeur parentale.</t>
  </si>
  <si>
    <t>L’autorité parentale, c’est un ensemble de droits et d’obligations que les parents ont envers leurs enfants (jusqu’à l’âge de 18 ans). Lors d’une séparation, les deux parents conservent également leur autorité parentale quelles que soient les modalités de garde de l’enfant. Seul un juge de la Cour peut priver un parent partiellement ou totalement de son autorité parentale./n À noter qu’un nouveau ou une nouvelle conjoint·e n’a pas d’autorité parentale./n Réf. : https://educaloi.qc.ca</t>
  </si>
  <si>
    <t>Question à choix multiple. Veuillez svp cocher toutes les réponses appropriées.</t>
  </si>
  <si>
    <t>Question à choix unique. Veuillez svp choisir la réponse qui représente le mieux votre situation.</t>
  </si>
  <si>
    <t>Cette questions sert à des fins statistiques et non à l'établissement de vos résultats et du rapport d'analyse.</t>
  </si>
  <si>
    <t xml:space="preserve">Question à choix multiple. Veuillez svp cocher toutes les réponses appropriées./n Nous vous invitons à consulter l'onglet Ressources si vous souhaitez vous familiariser avec la notion d'héritage intergénérationnel. </t>
  </si>
  <si>
    <t>🟡info bulles</t>
  </si>
  <si>
    <t>1 (si=10)</t>
  </si>
  <si>
    <t>Comportements de coparentalité à risque</t>
  </si>
  <si>
    <r>
      <t xml:space="preserve">DIFF. </t>
    </r>
    <r>
      <rPr>
        <sz val="12"/>
        <color theme="1"/>
        <rFont val="Calibri (Corps)"/>
      </rPr>
      <t xml:space="preserve">
(- dégradation / + amélioration )</t>
    </r>
  </si>
  <si>
    <t>Avant la séparation (Durant la vie commune)</t>
  </si>
  <si>
    <t>Après la séparation (Au moment du questionnaire)</t>
  </si>
  <si>
    <t>Max entre les comportments</t>
  </si>
  <si>
    <t>Échelle exponentielle va de bon à mauvais</t>
  </si>
  <si>
    <t>Échelle linéaire va de mauvais à bon</t>
  </si>
  <si>
    <t>L'autre parent prend des décisions sans vous consulter.</t>
  </si>
  <si>
    <t>Nouveau</t>
  </si>
  <si>
    <t>Indice de risque d'un conflit parental</t>
  </si>
  <si>
    <t>Liste entière des comportements du PFA (NC) qui engendre des réactions chez l'enfant (et parent ciblé), et contribue à une compréhension de la dynamique de la triade (incluant la contribution du nouveau conjoint)</t>
  </si>
  <si>
    <t>S'active si E04&gt;= condition de E04 ET si E15a n'a pas ouvert</t>
  </si>
  <si>
    <t>En compétition avec l'autre</t>
  </si>
  <si>
    <t>Changement des ses valeurs</t>
  </si>
  <si>
    <t>Propos d'adulte</t>
  </si>
  <si>
    <t>Changement de l'attitude de l'enfant entre les transferts de garde</t>
  </si>
  <si>
    <t>Changement de la santé de l'enfant depuis la séparation</t>
  </si>
  <si>
    <t>Ecart de fréquence (PFA-PCR)</t>
  </si>
  <si>
    <t>Comportements indépendants</t>
  </si>
  <si>
    <t>Comportements provenant du miroir</t>
  </si>
  <si>
    <t>Comportements d'action des parents et de réaction de l'enfant</t>
  </si>
  <si>
    <t>Tous ces comportements contribuent au calcul final sommaire de CSS, CL et AP</t>
  </si>
  <si>
    <t>Condition AP, CL et CSS à faire</t>
  </si>
  <si>
    <t>INDÉPENDANTS</t>
  </si>
  <si>
    <t>Défenseur du parent</t>
  </si>
  <si>
    <t>Manque d'ambivalence</t>
  </si>
  <si>
    <t>Dans quelle mesure diriez-vous que votre enfant adapte ses champs d’intérêts pour partager les intérêts de l’autre parent ?</t>
  </si>
  <si>
    <t>Échelle de triage</t>
  </si>
  <si>
    <t>Échelle globale</t>
  </si>
  <si>
    <t>bloque les communications</t>
  </si>
  <si>
    <t>vous accuse de voler son autre parent</t>
  </si>
  <si>
    <t>vous accuse de mentir</t>
  </si>
  <si>
    <t>Le nouveau conjoint.e vous critique</t>
  </si>
  <si>
    <t>Le nouveau conjoint.e vous dénigre</t>
  </si>
  <si>
    <t>Responsable du bonheur du parent favorisé</t>
  </si>
  <si>
    <t>Sent le besoin de protéger le parent favorisé</t>
  </si>
  <si>
    <t>Résultats (priorités)</t>
  </si>
  <si>
    <t>Les deux parents &lt; 4</t>
  </si>
  <si>
    <t>Constat =&gt;</t>
  </si>
  <si>
    <t>Thèmes :</t>
  </si>
  <si>
    <t>La valeur parentale de l'autre parent</t>
  </si>
  <si>
    <t>Attitude des deux parents positive</t>
  </si>
  <si>
    <t>Acceptation de la séparation et de ses exigences</t>
  </si>
  <si>
    <t>Les changements de garde</t>
  </si>
  <si>
    <t>L'implication de l'enfant dans la coparentalité</t>
  </si>
  <si>
    <t>La liberté de l'enfant entre ses deux maisons</t>
  </si>
  <si>
    <t>ZONE Graphique Divergence - Valeurs</t>
  </si>
  <si>
    <t>ZONE Graphique Divergence - Comportements préjudiciables</t>
  </si>
  <si>
    <t>Drapeaux rouges</t>
  </si>
  <si>
    <t>Rôle des parents</t>
  </si>
  <si>
    <t>Rôle du nouveau conjoint.e</t>
  </si>
  <si>
    <t>Rôle et statut du nouveau conjoint.e</t>
  </si>
  <si>
    <t>Climat de coparentalité</t>
  </si>
  <si>
    <t>2 à 4</t>
  </si>
  <si>
    <t>5 à 8</t>
  </si>
  <si>
    <t>9 à 10</t>
  </si>
  <si>
    <t>Constat</t>
  </si>
  <si>
    <t>Poids (I*F)</t>
  </si>
  <si>
    <t>Conseils sur la coparentalité en lien avec le rôle de chaque parent et de sa garde …</t>
  </si>
  <si>
    <t>Conseils sur la coparentalité dans un contexte d'un nouveau conjoint.e à bord…</t>
  </si>
  <si>
    <t>Conseils sur la coparentalité et les conséquences sur l'enfant à qui l'on donne un rôle…</t>
  </si>
  <si>
    <t>Poids moyen par constat</t>
  </si>
  <si>
    <t>Pour les constats à soulever, quels sont les cpts d'impact et soulever les drapeaux rouges.</t>
  </si>
  <si>
    <t>Condition de rétention de la question (âge ou autre)</t>
  </si>
  <si>
    <t>Le coparent se cache derrière l'enfant</t>
  </si>
  <si>
    <t>L'intention d'exclusion est exprimée (parole ou geste)</t>
  </si>
  <si>
    <t>Appropriation de l'enfant</t>
  </si>
  <si>
    <t>Pour le moment, l'échelle a été distribué en prenant 50% intervall min et 50% intervalle max. À évaluer lors des tests. (approche modérée)</t>
  </si>
  <si>
    <t>Échelle 1 à 10 : Aucune à excellente</t>
  </si>
  <si>
    <t>Conseils sur le constat émis si son poids moyen est plus élevé que la moyenne globale.</t>
  </si>
  <si>
    <t>Les deux parents ont certaines méthodes éducatives qui peuvent mener au CSS</t>
  </si>
  <si>
    <t>Base de données d'Interprétation</t>
  </si>
  <si>
    <t>Rien à signaler, les données ou les conseils ne s'afficheront pas</t>
  </si>
  <si>
    <t>Méthode ADR </t>
  </si>
  <si>
    <t>Pièges et solutions </t>
  </si>
  <si>
    <t>Nature du conflit (crise d'ado vs AP)</t>
  </si>
  <si>
    <t>Les indispensables pour protéger son enfant </t>
  </si>
  <si>
    <t>Tenir un journal de bord </t>
  </si>
  <si>
    <t>Nom de la méthode</t>
  </si>
  <si>
    <t>Contre-manipulation</t>
  </si>
  <si>
    <t>Communication non violente</t>
  </si>
  <si>
    <t>Méthodes conseillées et applications</t>
  </si>
  <si>
    <t>ARUC ou autre</t>
  </si>
  <si>
    <t>Stimuler les liens d’attachement</t>
  </si>
  <si>
    <t>Les 5 conseils plus plus importants pour tracer le chemin de la réconciliation</t>
  </si>
  <si>
    <t>Identité du bloc conseil</t>
  </si>
  <si>
    <t>Bloc_ADR</t>
  </si>
  <si>
    <t>Bloc_CM</t>
  </si>
  <si>
    <t>Bloc_CNV</t>
  </si>
  <si>
    <t>Bloc_Coparentalité</t>
  </si>
  <si>
    <t>Bloc_Lien</t>
  </si>
  <si>
    <t>Bloc_réconciliation</t>
  </si>
  <si>
    <t>Bloc_protegerenfant</t>
  </si>
  <si>
    <t>Bloc_Journaldebord</t>
  </si>
  <si>
    <t xml:space="preserve">Conseils sur la coparentalité et l'importance de favoriser un climat d'entente entre les parents
</t>
  </si>
  <si>
    <t>Résultat : "Possible"</t>
  </si>
  <si>
    <t>Résultat : "Probable"</t>
  </si>
  <si>
    <t>Le coparent vous retire vos privilèges parentaux</t>
  </si>
  <si>
    <t xml:space="preserve">L'intention d'exclusion est exprimée </t>
  </si>
  <si>
    <t>Le parent se cache derrière l'enfant</t>
  </si>
  <si>
    <t>Le coparent s'approprie l'enfant</t>
  </si>
  <si>
    <t>La nouvelle famille de remplacement</t>
  </si>
  <si>
    <t>Guide de survie en coparentalité suite à la rupture</t>
  </si>
  <si>
    <t>Le rôle donné à l'enfant</t>
  </si>
  <si>
    <t>ADR</t>
  </si>
  <si>
    <t>CM</t>
  </si>
  <si>
    <t>CNV</t>
  </si>
  <si>
    <t>Coparentalité</t>
  </si>
  <si>
    <t>Lien</t>
  </si>
  <si>
    <t>Réconciliation</t>
  </si>
  <si>
    <t>Protection_enfant</t>
  </si>
  <si>
    <t>Journal de bord</t>
  </si>
  <si>
    <t>Bloc Conseil et ressources</t>
  </si>
  <si>
    <t>L'indice d'exclusion</t>
  </si>
  <si>
    <t>Baromètres</t>
  </si>
  <si>
    <t xml:space="preserve">Les blocs de constats </t>
  </si>
  <si>
    <t>Échelle Exponentielle 35b: Excellent à mauvais; 35a: Jamais à toujours</t>
  </si>
  <si>
    <t>Échelle Exponentielle concordante (bon à mauvais)</t>
  </si>
  <si>
    <t>Problème de compatibilité des échelles</t>
  </si>
  <si>
    <t>Après la séparation | moment du questionnaire</t>
  </si>
  <si>
    <t>Mauvais</t>
  </si>
  <si>
    <t>Excellent</t>
  </si>
  <si>
    <t>Amélioration</t>
  </si>
  <si>
    <t>Bon à mauvais</t>
  </si>
  <si>
    <t>Absolument</t>
  </si>
  <si>
    <t>Absolument pas</t>
  </si>
  <si>
    <t>Pas ou peu de changement</t>
  </si>
  <si>
    <t>TOTAL catégorie : Max entre les comportments</t>
  </si>
  <si>
    <t>Changement dans les relations</t>
  </si>
  <si>
    <t>Note : 
Si &lt;=1, relation absente;
Si &lt;=4, relation fragile</t>
  </si>
  <si>
    <t xml:space="preserve">Valeur "Avant"
</t>
  </si>
  <si>
    <t>Attention : les échelles 1 à 10 sont inversées (en matière de jugement de valeur) à celle exponentielles. C'est pourquoi le résultat est modelé par une table différente pour les deux scénarios : Exp et Linéaire</t>
  </si>
  <si>
    <t>Différentiel entre le parent répondant et l'enfant</t>
  </si>
  <si>
    <t>Différentiel entre l'enfant et la famille du parent répondant</t>
  </si>
  <si>
    <t>Différentiel entre le coparent et l'enfant</t>
  </si>
  <si>
    <t>Différentiel entre le coparent et le parent répondant</t>
  </si>
  <si>
    <t>0-1</t>
  </si>
  <si>
    <t>Dégradation importante</t>
  </si>
  <si>
    <t>Légère dégradation</t>
  </si>
  <si>
    <t>Aucun ou peu de changement observé</t>
  </si>
  <si>
    <t>Légère amélioration</t>
  </si>
  <si>
    <t>Amélioration significative</t>
  </si>
  <si>
    <t>Aucun changement observé</t>
  </si>
  <si>
    <t>Amélioration majeure</t>
  </si>
  <si>
    <t xml:space="preserve">Dégradation significative </t>
  </si>
  <si>
    <t>Zone baromètre</t>
  </si>
  <si>
    <t>Calcul des écarts pour les échelles exponentielles</t>
  </si>
  <si>
    <t>Calcul des écarts pour les échelles linéaires</t>
  </si>
  <si>
    <t>Échelle de changement positif (Valeur positive)</t>
  </si>
  <si>
    <t>Échelle de changement négatif (Valeur négative)</t>
  </si>
  <si>
    <t>Comportements violents avant la séparation</t>
  </si>
  <si>
    <t>Contexte de violence impliquant l'enfant</t>
  </si>
  <si>
    <t>Violence après la séparation</t>
  </si>
  <si>
    <t>Non significatif</t>
  </si>
  <si>
    <t>À considérer</t>
  </si>
  <si>
    <t>Indice de VC</t>
  </si>
  <si>
    <t>3 à 4</t>
  </si>
  <si>
    <t>6 à 10</t>
  </si>
  <si>
    <t>5 à 10</t>
  </si>
  <si>
    <t>4 à 5</t>
  </si>
  <si>
    <t>2 à 10</t>
  </si>
  <si>
    <t>0-4</t>
  </si>
  <si>
    <t>Résultat d'analyse</t>
  </si>
  <si>
    <t>Non-significatif</t>
  </si>
  <si>
    <t>Il y avait des signes de VC avant la séparation</t>
  </si>
  <si>
    <t>L'enfant impliqué, comment veut-on gérer cela -conseils d'aide à l'enfant</t>
  </si>
  <si>
    <t>Commentaires pour discussion…</t>
  </si>
  <si>
    <t>Sommaire des gradients de L'AP, CL et CSS - et par acteur</t>
  </si>
  <si>
    <t>Vert=&gt;</t>
  </si>
  <si>
    <t>jaune=&gt;</t>
  </si>
  <si>
    <t>orange=&gt;</t>
  </si>
  <si>
    <t>rouge=&gt;</t>
  </si>
  <si>
    <t>Score total</t>
  </si>
  <si>
    <t>L'enfant présente les comportements suivants sans signe ou évaluation de la participation du PFA :</t>
  </si>
  <si>
    <t>Analyse de l'action-réaction de l'enfant</t>
  </si>
  <si>
    <t>cherche à vous convaincre des qualités du coparent</t>
  </si>
  <si>
    <t>défend le coparent quoi que vous disiez</t>
  </si>
  <si>
    <t>considère le coparent parfait et vous avez tous les tords</t>
  </si>
  <si>
    <t>calque les désirs du coparent</t>
  </si>
  <si>
    <t>s'exprime avec les propos du coparent</t>
  </si>
  <si>
    <t>adapte ses champs d'intérêts pour le coparent</t>
  </si>
  <si>
    <t>rejette vos valeurs et vos intérêts</t>
  </si>
  <si>
    <t>Gradient linéaire horizontal</t>
  </si>
  <si>
    <t>Risque de conflit du contexte de coparentalité</t>
  </si>
  <si>
    <t>Très sévère</t>
  </si>
  <si>
    <t>Gradient  accélérateur</t>
  </si>
  <si>
    <t>sévère</t>
  </si>
  <si>
    <t>Dans les situations où le nouveau conjoint joue un rôle, est-ce que son rôle est plus grand que celui du coparent</t>
  </si>
  <si>
    <t>Analyse de la contribution du nouveau conjoint uniquement face aux comportements communs étudiés</t>
  </si>
  <si>
    <t>Vérifier la conclusion du CSS : Devrait-on amplifier la situation si les deux parents ont des cpts à risque ou diminuer l'impact d'un seul parent qui déclenche</t>
  </si>
  <si>
    <t>À réévaluer, il se peut que ce type d'interprétation ne soit pas utile</t>
  </si>
  <si>
    <t>Liste des méthodes pour guider et conseiller :</t>
  </si>
  <si>
    <t>Liste références | Ressources</t>
  </si>
  <si>
    <t>Donner un modèle de travail comme ressources</t>
  </si>
  <si>
    <t>Bloc contenu "conseils intégrés au constat" à compléter par Joanna</t>
  </si>
  <si>
    <t>Drapeaux rouges (par thème et par comportements)</t>
  </si>
  <si>
    <t>Ouvrir le drapeau du constat d'abord, et ensuite ceux des comportements le cas échéant</t>
  </si>
  <si>
    <t>Faire l'analyse des comportements si des drapeaux rouges ont besoin d'être ajouté (éviter les doublons)</t>
  </si>
  <si>
    <t>Drapeaux rouges par thème iraient en bas de la section dans le rapport</t>
  </si>
  <si>
    <t>Générer un drapeau rouge et conseils sur CSS dans le bas de la section du rapport</t>
  </si>
  <si>
    <t>Drapeaux jaunes (à surveiller)</t>
  </si>
  <si>
    <t>Condition d'ouverture</t>
  </si>
  <si>
    <t>Titre du baromètre</t>
  </si>
  <si>
    <t>Présentation du baromètre (À propos)</t>
  </si>
  <si>
    <t>Deux baromètres étudiés ici:</t>
  </si>
  <si>
    <t>Titre du 1er baromètre</t>
  </si>
  <si>
    <t>Titre du 2ème baromètre</t>
  </si>
  <si>
    <t>Quels sont les changements observés dans la relation de l'enfant avec chaque membre de la famille?</t>
  </si>
  <si>
    <t>Ce n'est pas un baromètre en soi, mais intégré "pour le moment" dans le sommaire!!!</t>
  </si>
  <si>
    <t>modéré</t>
  </si>
  <si>
    <t>Donner des références utiles au besoin</t>
  </si>
  <si>
    <t>Y a-t-il une contribution du nouveau ou la nouvelle conjoint·e à la dynamique conflictuelle de coparentalité?</t>
  </si>
  <si>
    <t>Crée une alliance avec l'enfant qui nuit à la dynamique de coparentalité</t>
  </si>
  <si>
    <t>Thème/poids moyen</t>
  </si>
  <si>
    <t>Dénigre l'ex-conjoint·e, l'autre parent de l'enfant</t>
  </si>
  <si>
    <t>S'interpose dans la gestion familiale de coparentalité et des responsabilités face à l'enfant</t>
  </si>
  <si>
    <t>Se positionne comme parent remplaçant</t>
  </si>
  <si>
    <t>Implique l'enfant</t>
  </si>
  <si>
    <t>Références</t>
  </si>
  <si>
    <t>Zone Sommaire du baromètre</t>
  </si>
  <si>
    <t>Zone "Constat" du baromètre</t>
  </si>
  <si>
    <t>Cette zone permet de consolider les conseils, drapeaux et références associés au baromètre dans son ensemble</t>
  </si>
  <si>
    <t>2 ans +</t>
  </si>
  <si>
    <t>2 ans -</t>
  </si>
  <si>
    <t>Drapeau rouges</t>
  </si>
  <si>
    <t>Conseils généraux</t>
  </si>
  <si>
    <t>Veut-on dire quelque chose ici ou tout simplement référer</t>
  </si>
  <si>
    <t>Références :</t>
  </si>
  <si>
    <t>Nouveau conjoint·e</t>
  </si>
  <si>
    <t>Analyse (à considérer pour drapeaux rouges) des comportements communs au coparent et du nouveau conjoint.e. Le nouveau conjoint·e contribue t-il plus ou moins que le coparent lui-même.</t>
  </si>
  <si>
    <t>Ne fait pas de compromis</t>
  </si>
  <si>
    <t>Ne salue pas l'autre lors de rencontre</t>
  </si>
  <si>
    <t>Ridiculise l'autre parent</t>
  </si>
  <si>
    <t>Menace l'autre parent</t>
  </si>
  <si>
    <t>Présente à l'entourage une vision négative de l'autre parent</t>
  </si>
  <si>
    <t>Ne communique pas les informations concernant l'enfant</t>
  </si>
  <si>
    <t>Se dit impuissant devant les décisions de l'enfant</t>
  </si>
  <si>
    <t>Cherche à exclure l'autre parent</t>
  </si>
  <si>
    <t>N'est pas serein face à la séparation</t>
  </si>
  <si>
    <t>Défend son parent quoi qui est dit</t>
  </si>
  <si>
    <t>L'autre parent est pafait aux yeux de l'enfant</t>
  </si>
  <si>
    <t>Fait le messager de la logistique familiale</t>
  </si>
  <si>
    <t>Reproche un manque de respect de ses désirs</t>
  </si>
  <si>
    <t>Changede comportement au moment de retourner chez l'autre</t>
  </si>
  <si>
    <t>Poids (I*F) catégorie</t>
  </si>
  <si>
    <t>Qualité de la relation avec le NC de l'autre parent</t>
  </si>
  <si>
    <t>Le nouveau ou la nouvelle conjoint·e demande de se faire appeler maman ou papa</t>
  </si>
  <si>
    <t>Boude l'enfant lorsqu'il quitte pour aller chez l'autre parent</t>
  </si>
  <si>
    <t>Accable de reproches l'autre parent par téléphone ou courriel</t>
  </si>
  <si>
    <t>Change les horaires sans consulter l'autre parent</t>
  </si>
  <si>
    <t>Poids de la classe:
Max (Co+NC) + Répondant Cpts</t>
  </si>
  <si>
    <t>Quels sont les changements observés de la santé de l'enfant?</t>
  </si>
  <si>
    <t>Y a-t-il un changement d'attitude chez l'enfant lors de son transfert de garde?</t>
  </si>
  <si>
    <t>Ce baromètre révèle s'il y a un changement perceptible d’attitude chez l’enfant lors de 
son départ chez l'autre parent et son attitude au retour d’un séjour chez vous.</t>
  </si>
  <si>
    <t>Ne peut statuer sur ce symptôme</t>
  </si>
  <si>
    <t>Grille d'écart à considérer</t>
  </si>
  <si>
    <t>Ne peut statuer sur ce symptôme n'ayant pas d'historique</t>
  </si>
  <si>
    <t>Aucun symptôme</t>
  </si>
  <si>
    <t>Léger changement à surveiller</t>
  </si>
  <si>
    <t>Pour les symptômes dits "Sans objet" avant et après, ne pas montrer le symptôme</t>
  </si>
  <si>
    <t>Aucun changement depuis la séparation, mais il serait important de faire la lumière derrière ce symptôme chez l'enfant.</t>
  </si>
  <si>
    <t>Aucun changement significatif</t>
  </si>
  <si>
    <t>S'il y a amélioration, est-ce dû au fait que l'enfant a choisi son camp ou il va vraiment mieux!</t>
  </si>
  <si>
    <t>S'il y a détérioration, symptôme à surveiller ou à aller chercher de l'aide selon la sévérité du symptôme et|ou du changement.</t>
  </si>
  <si>
    <t>Si symptôme avant la séparation &gt;=4</t>
  </si>
  <si>
    <t>Aucun changement entre avant et après, mais la présence du symptôme devrait être investigué.</t>
  </si>
  <si>
    <t>S'il y a amélioration, est-ce dû au fait que l'enfant a choisi son camp ou il va vraiment mieux! (Peut-on aller voir si l'enfant a rompu le lien pour y répondre?)</t>
  </si>
  <si>
    <t>Résultats évalués dès que l'un ou l'autre des changements de garde révèle un comportement inquiétant (Taciturne, anxieux, agressif)</t>
  </si>
  <si>
    <t xml:space="preserve">Test comparatif des baromètres de l'AP </t>
  </si>
  <si>
    <t>Provient du calcul Test_Bible</t>
  </si>
  <si>
    <t>Provient des calculs AP, CL et CSS</t>
  </si>
  <si>
    <t>Min Zone AP</t>
  </si>
  <si>
    <t>Max Zone AP</t>
  </si>
  <si>
    <t>Vert-&gt;</t>
  </si>
  <si>
    <t>Jaune-&gt;</t>
  </si>
  <si>
    <t>orange-&gt;</t>
  </si>
  <si>
    <t>rouge-&gt;</t>
  </si>
  <si>
    <t>Indicateur si la question est fermée (ou S.O.), elle ne doit pas être tenue en compte dans le calcul de l'intervalle</t>
  </si>
  <si>
    <t>vert</t>
  </si>
  <si>
    <t>Min (vert-&gt;)</t>
  </si>
  <si>
    <t>Conserver que les 7 plus importants</t>
  </si>
  <si>
    <t>Sommaire d'interprétation (temps depuis séparation &lt;= 2 ans)</t>
  </si>
  <si>
    <t>Sommaire d'interprétation (temps depuis séparation &gt; 2 ans)</t>
  </si>
  <si>
    <t xml:space="preserve">. </t>
  </si>
  <si>
    <t>Respect de l'autre</t>
  </si>
  <si>
    <t>Respect de l'exercice et du temps parental</t>
  </si>
  <si>
    <t>Acceptation des exigences de coparentalité</t>
  </si>
  <si>
    <t>Sérénité des parents face la séparation</t>
  </si>
  <si>
    <t>Appréciation de la valeur parentale de l'autre parent</t>
  </si>
  <si>
    <t>Le désir de coparentalité, engagement à faire équipe, et respect de la valeur parentale du coparent</t>
  </si>
  <si>
    <t>La liberté d'aimer les deux parents, sécuriser et ne pas être impliqué dans la logistique et conflits</t>
  </si>
  <si>
    <t>Ecart de F*I (PFA-PCR)</t>
  </si>
  <si>
    <t>F*I</t>
  </si>
  <si>
    <t>En tout temps / Presque toujours / Régulièrement / Parfois / Rarement / Jamais / S.O.</t>
  </si>
  <si>
    <t>Mettre en ordre d'écart décroissant</t>
  </si>
  <si>
    <t>Tous comportements &gt;=4, de l'un ou des deux</t>
  </si>
  <si>
    <t>PCR07&amp;PFA13 &amp; NC04a1</t>
  </si>
  <si>
    <t>PFA34&amp;PCR13</t>
  </si>
  <si>
    <t>Appeler le nouveau conjoint "papa ou maman" peut semer de la confusion chez l'enfant et | ou affecter la valeur symbolique du parent. Par exemple : aimer un NC comme si c'était son propre parent est une chose, mais le substituer en est un autre.</t>
  </si>
  <si>
    <t>Ce baromètre indique si le nouveau ou la nouvelle conjointe du coparent prend un rôle qui a un impact sur la dynamique et conséquement sur l'enfant.</t>
  </si>
  <si>
    <t>À intégrer dans l'analyse de l'AP</t>
  </si>
  <si>
    <t xml:space="preserve">                                                                                                                                                                                                                                                                                                                                                                                                                                                                                                                                                                                                                                                                                                                                                                                                                                                  </t>
  </si>
  <si>
    <t>Q Indépend.</t>
  </si>
  <si>
    <t>Introduction =&gt;</t>
  </si>
  <si>
    <t xml:space="preserve">À propos : </t>
  </si>
  <si>
    <t>Ce sera les résultats des 7 catégories qui viendront se dessiner.</t>
  </si>
  <si>
    <t>Ce seront les résultats de chaque catégorie qui seront mis en graphique</t>
  </si>
  <si>
    <t>À propos</t>
  </si>
  <si>
    <t>Introduction</t>
  </si>
  <si>
    <t>Les comportements repérés préjudiciables sont :</t>
  </si>
  <si>
    <t>Cpts qui s'ouvrent (plus élevé que la moyenne ou plus que 20 de score)</t>
  </si>
  <si>
    <t>Dès qu'il y a ces symptômes, avant ou après, mettre drapeaux rouges.</t>
  </si>
  <si>
    <t>Logique d'analyse et d'affichage</t>
  </si>
  <si>
    <t>Si avant et après &lt;=2, ne pas montrer les symptômes et|ou le baromètre si tous les symptômes sont &lt;=2.</t>
  </si>
  <si>
    <t>S'il y a détérioration, symptôme à surveiller et à aller chercher de l'aide selon la sévérité du symptôme et|ou du changement.</t>
  </si>
  <si>
    <t>Mettre drapeau rouge si ces symptômes "automutilation, dépression et idées suicidaires"sont présents, en avant ou en après. Il faut de l'aide à l'enfant.</t>
  </si>
  <si>
    <t>Si symptôme après : égal (-1 et + 1)</t>
  </si>
  <si>
    <t>Si symptôme après : moindre (&gt;=2)</t>
  </si>
  <si>
    <t>Si symptôme après : plus élevé (&lt;=-2)</t>
  </si>
  <si>
    <t>Écart &lt;=-2</t>
  </si>
  <si>
    <t>Écart entre -1 et +1</t>
  </si>
  <si>
    <t>Écart &gt;=2</t>
  </si>
  <si>
    <t>Les enfants ne réagissent pas tous pareils et n'auront pas tous des symptômes psychosomatiques ou physiques apparents. Il est cependant très important de rester à l'affût des changements dans la santé de l'enfant.
L'analyse démontre :</t>
  </si>
  <si>
    <t>Qu'il y a peu ou pas de changement entre avant et après, mais la présence des symptômes présents devrait être investigué pour comprendre si la source est la situation familiale.</t>
  </si>
  <si>
    <t xml:space="preserve">Qu'il y a une amélioration d'un ou de certains symptômes présents avant la séparation, est-ce dû au fait que l'enfant a choisi son camp ou il va vraiment mieux! </t>
  </si>
  <si>
    <t>Qu'il y a détérioration de la santé de l'enfant. À surveiller et aller chercher de l'aide selon la sévérité du symptôme et|ou du changement.</t>
  </si>
  <si>
    <t>(À investiguer de notre part dans l'analyse, Peut-on aller voir si l'enfant qui va mieux a rompu le lien ce qui pourrait exp;liquer être sortie du CL?)</t>
  </si>
  <si>
    <t>Il arrive souvent que l'enfant pris dans un conflit de loyauté sentira une tension lors des changements de garde. Il pourrait alors apparaitre des comportements d'anxiété, d'agressivité ou une attitude taciturne au départ ou à l'arrivée de son séjour de garde chez l'autre.</t>
  </si>
  <si>
    <t>Arrivée de l'enfant après son séjour chez le coparent</t>
  </si>
  <si>
    <t>Départ de l'enfant pour son séjour chez le coparent</t>
  </si>
  <si>
    <t>Baromètre ne s'ouvre pas si l'enfant est calme, neutre ou enjoué.e, au départ et à l'arrivée</t>
  </si>
  <si>
    <t>Symptômes inquiétants seulement à l'arrivée de son séjour</t>
  </si>
  <si>
    <t>Symptômes inquiétants seulement au départ chez l'autre parent</t>
  </si>
  <si>
    <t>Les questions qualitatives E27 et E37 n'ouvrent pas si la fréquence du changement observé est peu élevé. Donc, dans plusieurs cas, nous pourrions avoir qu'une seule donnée sur les deux. S'assurer que nous sommes bien avec ça et les condition d'ouverture dans la Bible.</t>
  </si>
  <si>
    <t>Les résultats de votre questionnaire démontre que l'enfant ressent une pression lorsqu'il quitte votre foyer, sans démontrer une telle pression à son retour.</t>
  </si>
  <si>
    <t>Les résultats de votre questionnaire démontre que l'enfant ressent une pression lorsqu'il arrive après son séjour chez l'autre, sans démontrer cette pression à son départ.</t>
  </si>
  <si>
    <t>Les résultats de votre questionnaire démontre que l'enfant est affecté par les changements de garde. Il est possiblement en situation de conflit de loyauté.</t>
  </si>
  <si>
    <t>Symptômes inquiétants lors des arrivées et des éparts</t>
  </si>
  <si>
    <t>Introduction=&gt;</t>
  </si>
  <si>
    <t>Maison parent répondant</t>
  </si>
  <si>
    <t>Maison du coparent</t>
  </si>
  <si>
    <t>Départ</t>
  </si>
  <si>
    <t>Arrivée</t>
  </si>
  <si>
    <t>Ce baromètre révèle si la santé psychologique de l'enfant a changé depuis la séparation et si oui, quels en sont les symptômes.</t>
  </si>
  <si>
    <t>Zone Sommaire des baromètres présentant les changements de relation entre l'enfant avec ses deux parents et les membres de sa famille élargie.</t>
  </si>
  <si>
    <t>Cette indice devrait venir se greffer au baromètre des comportements miroirs des parents.</t>
  </si>
  <si>
    <t>Dégradation &lt; -2</t>
  </si>
  <si>
    <t>Amélioration &gt;+2</t>
  </si>
  <si>
    <t>Peu ou pas de changement entre -2 et +2</t>
  </si>
  <si>
    <t xml:space="preserve">Constat sur le changement de la relation entre les deux parents depuis la séparation </t>
  </si>
  <si>
    <t>Constat sur le changement de la relation de la relation de l'enfant avec le parent répondant</t>
  </si>
  <si>
    <t>Constat sur le changement de la relation la relation de l'enfant avec la famille du parent répondant</t>
  </si>
  <si>
    <t>Constat sur le changement de la relation de la relation de l'enfant avec le coparent</t>
  </si>
  <si>
    <t>Constat de l'écart programmé
(automatiser selon l'échelle de changement)</t>
  </si>
  <si>
    <t>Nature des comportements réactifs de l'enfant</t>
  </si>
  <si>
    <t>Une bulle parent avec trois bulles internes pour C.E,V</t>
  </si>
  <si>
    <t>Une bulle enfant avec trois bulles internes pour C.E,V</t>
  </si>
  <si>
    <t>De quelle nature est la réponse de l'enfant face aux types de comportements aliénants qu'il subit?</t>
  </si>
  <si>
    <t>Ce baromètre révèle les changements relationnels de l'enfant et avec les membres de la famille depuis la séparation.</t>
  </si>
  <si>
    <t>2 grosses bulles de même grosseur, 3 petites bulles C - E - V à l'intérieur de dimension selon son %</t>
  </si>
  <si>
    <t>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t>
  </si>
  <si>
    <t>Bien identifier la nature des comportements préjudiciables des parents et comprendre la façon dont l'enfant y répond est utile pour mieux reconnaitre la dynamique et réagir adéquatement auprès de l'enfant.
L'analyse démontre :</t>
  </si>
  <si>
    <t>Indice AP de l'enfant</t>
  </si>
  <si>
    <t>Indice AP du nouveau conjoint</t>
  </si>
  <si>
    <t>Par ordre décroissant de l'écart</t>
  </si>
  <si>
    <t xml:space="preserve">L’analyse des réponses obtenues aux questionnaires indique que votre climat familial favoriserait une saine coparentalité. </t>
  </si>
  <si>
    <t>N'hésitez pas à consulter la section Coparentalité de l'onglet Ressources afin de connaitre les meilleures pratiques en matière de coparentalité.
= lien actif</t>
  </si>
  <si>
    <t xml:space="preserve">L’analyse des réponses obtenues aux questionnaires révèle un risque modéré de conflit entre vous et votre coparent. Considérant une séparation relativement récente (inférieure à 24 mois), la difficulté d'adaptation à la nouvelle réalité familiale pour chaque membre de la famille est peut-être à considérer. </t>
  </si>
  <si>
    <t xml:space="preserve">Une certaine interférence au niveau de l’exercice de l’autorité parentale et du temps parental par l’un et/ou l’autre des coparents pourrait être en cause. </t>
  </si>
  <si>
    <t xml:space="preserve">L'implication et l'influence du nouveau ou de la nouvelle conjoint·e semblent nourrir certaines tensions et difficultés dans l'exercice de la coparentalité. </t>
  </si>
  <si>
    <t>L’analyse des réponses obtenues aux questionnaires révèle un risque modéré de conflit entre vous et votre coparent.</t>
  </si>
  <si>
    <t>L’analyse des réponses obtenues aux questionnaires révèle un risque élevé de conflit entre vous et votre coparent.</t>
  </si>
  <si>
    <t>Nous vous invitons à consulter la section coparentalité de l'onglet Ressources afin de connaitre les meilleures pratiques en matière de coparentalité.
= lien actif</t>
  </si>
  <si>
    <t>L'analyse révèle un non-respect de la valeur parentale et du temps parental de l'un ou les deux parents.</t>
  </si>
  <si>
    <t xml:space="preserve">L’analyse des réponses obtenues aux questionnaires révèle un risque élevé de conflit entre vous et votre coparent. Considérant une séparation relativement récente (inférieure à 24 mois), il se peut que la difficulté d'adaptation à la nouvelle réalité familiale pour chaque membre de la famille contribue au climat de tension.  </t>
  </si>
  <si>
    <t>L'implication et l'influence du nouveau ou de la nouvelle conjoint·e seraient à la base de certaines tensions et seraient en partie responsables des difficultés rencontrés dans l'exercice de la coparentalité.</t>
  </si>
  <si>
    <t xml:space="preserve">Nous vous invitons à consulter la section conflit de loyauté  afin de prendre connaissance des répercussions chez l’enfant et la section  coparentalité de l'onglet Ressources afin de prendre connaissance de la charte de coparentalité et de connaitre les meilleures pratiques et recommandations en matière de coparentalité. 
= lien actif
Le modèle explicatif des conflits sévères de séparation vous renseignera entre autres sur les facteurs aggravants qui contribuent au maintien du conflit. </t>
  </si>
  <si>
    <t>Informer l'enfant des enjeux qui nous opposent à l'autre parent place l'enfant dans un conflit de loyauté.</t>
  </si>
  <si>
    <t>Ressources</t>
  </si>
  <si>
    <t xml:space="preserve">Appeler le nouveau ou la nouvelle conjoint·e « papa » ou « maman » peut semer de la confusion chez l'enfant ou affecter la valeur symbolique de l’autre parent. </t>
  </si>
  <si>
    <t>Prendre des décisions sans consulter l'autre parent ne s'inscrit pas dans une saine coparentalité.</t>
  </si>
  <si>
    <t>Votre contexte familial présente-t-il un risque de conflit parental ?</t>
  </si>
  <si>
    <t>Drapeaux "jaunes" selon des comportements uniques prioritaires</t>
  </si>
  <si>
    <t>Drapeaux "rouges" selon des comportements uniques prioritaires</t>
  </si>
  <si>
    <t>Thème 1 en premier</t>
  </si>
  <si>
    <t>Thème 2</t>
  </si>
  <si>
    <t>Thème 3</t>
  </si>
  <si>
    <t>Ressources : 📚</t>
  </si>
  <si>
    <t>Les constats : Ouverture que si indice modéré ou élevé seulement</t>
  </si>
  <si>
    <t xml:space="preserve">À surveiller : </t>
  </si>
  <si>
    <t>Drapeaux jaunes 🟡</t>
  </si>
  <si>
    <t>Drapeaux rouges 🔴</t>
  </si>
  <si>
    <t>Pour les constats à soulever, quels sont les cpts d'impact et soulever les drapeaux jaunes. (Évaluer la valeur du cpt par sa fréquence et non son amplitude)</t>
  </si>
  <si>
    <t>À propos du baromètre</t>
  </si>
  <si>
    <t>Constats par thème</t>
  </si>
  <si>
    <t>Ce baromètre s'affiche uniquement que si les indices sont Possible ou Probable.</t>
  </si>
  <si>
    <t>Conseils généraux (Autres)</t>
  </si>
  <si>
    <t>Intensité 0 si fréquence PCR16&lt;=2</t>
  </si>
  <si>
    <t>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t>
  </si>
  <si>
    <t>SECTION DRAPEAUX</t>
  </si>
  <si>
    <t>Vie commune</t>
  </si>
  <si>
    <t>Bloc Constats</t>
  </si>
  <si>
    <t>Bloc "Constat"</t>
  </si>
  <si>
    <t>Bloc constats</t>
  </si>
  <si>
    <t>Oui, si symptôme avant et|ou après</t>
  </si>
  <si>
    <t>Ce sera le même texte partout quel que soit l'écart, mais n'est pas affiché s'il n'y a aucun signe</t>
  </si>
  <si>
    <t>Ce baromètre s'affiche en tout temps</t>
  </si>
  <si>
    <t>Selon les couleurs du grahique</t>
  </si>
  <si>
    <t>Autre proposition pour le baromètre</t>
  </si>
  <si>
    <t>Utiliser peut-être la constellation !!!!</t>
  </si>
  <si>
    <t>Constats généraux</t>
  </si>
  <si>
    <t>Zone de contenu - Bloc "Constats"</t>
  </si>
  <si>
    <t>Zone  DRAPEAUX</t>
  </si>
  <si>
    <t>Zone de contenu - Bloc Constats</t>
  </si>
  <si>
    <t>Zone de programmation</t>
  </si>
  <si>
    <t>Section s'ouvre que s'il y a du contenu</t>
  </si>
  <si>
    <t>Introduction ( ouverture toujours)</t>
  </si>
  <si>
    <t>Rapport</t>
  </si>
  <si>
    <t>Quel est le contexte de coparentalité de la famille?</t>
  </si>
  <si>
    <t>Moyenne</t>
  </si>
  <si>
    <t>si les deux sont tous &lt;4</t>
  </si>
  <si>
    <t>Si intensité d'une question est 0 = cacher la question des deux parents</t>
  </si>
  <si>
    <t>Si une des deux questions est fermée = cacher la question pour les deux parents</t>
  </si>
  <si>
    <t>Question affichée ou non</t>
  </si>
  <si>
    <t>Max Fréquence</t>
  </si>
  <si>
    <t>Baromètre 2:</t>
  </si>
  <si>
    <t>Les constats</t>
  </si>
  <si>
    <t>Les comportements suivants méritent une attention particulière, car ils sont susceptibles d'affecter le développement de l'enfant :</t>
  </si>
  <si>
    <t>Baromètre 3:</t>
  </si>
  <si>
    <t>Quelle est la dynamique familiale à laquelle l'enfant est exposé ?</t>
  </si>
  <si>
    <t>S'affiche uniquement si le résultat est "possible" ou "probable"</t>
  </si>
  <si>
    <t>Thème 1</t>
  </si>
  <si>
    <t>Comportements du thème 1</t>
  </si>
  <si>
    <t>Thèmes 4  indépendants</t>
  </si>
  <si>
    <t>Thème 4</t>
  </si>
  <si>
    <t>Thème 5</t>
  </si>
  <si>
    <t>Thème 6</t>
  </si>
  <si>
    <t>Thème 7</t>
  </si>
  <si>
    <t>Drapeau sur le thème 1</t>
  </si>
  <si>
    <t>Drapeau sur les comportements du thème 1</t>
  </si>
  <si>
    <t>Drapeau sur les comportements du thème 2</t>
  </si>
  <si>
    <t>Drapeau sur les comportements du thème 3</t>
  </si>
  <si>
    <t>Drapeau sur les comportements du thème 4</t>
  </si>
  <si>
    <t>Drapeau sur les comportements du thème 5</t>
  </si>
  <si>
    <t>Drapeau sur les comportements du thème 6</t>
  </si>
  <si>
    <t>Drapeau sur les comportements du thème 7</t>
  </si>
  <si>
    <t>Drapeau sur le thème 2</t>
  </si>
  <si>
    <t>Drapeau sur le thème 3</t>
  </si>
  <si>
    <t>Drapeau sur le thème 4</t>
  </si>
  <si>
    <t>Drapeau indépendant 5</t>
  </si>
  <si>
    <t>Drapeau indépendant 6</t>
  </si>
  <si>
    <t>Comportements du thème 2</t>
  </si>
  <si>
    <t>Comportements du thème 3</t>
  </si>
  <si>
    <t>Thème indépendant 4</t>
  </si>
  <si>
    <t>Thème indépendant 5</t>
  </si>
  <si>
    <t>Thème indépendant 6</t>
  </si>
  <si>
    <t>Stade léger</t>
  </si>
  <si>
    <t>Baromètre 1:</t>
  </si>
  <si>
    <t>Baromètre 4:</t>
  </si>
  <si>
    <t>Baromètre 5:</t>
  </si>
  <si>
    <t>Baromètre 6:</t>
  </si>
  <si>
    <t>Thème 8</t>
  </si>
  <si>
    <t>Thème 1 (catégorie B)</t>
  </si>
  <si>
    <t>Thème 2 (catégorieC)</t>
  </si>
  <si>
    <t>Thème 3 (catégorie D)</t>
  </si>
  <si>
    <t>Thème 4 (catégorie E)</t>
  </si>
  <si>
    <t>Thème 5 (catégorie F)</t>
  </si>
  <si>
    <t>Thème 6 (catégorie G)</t>
  </si>
  <si>
    <t>Thème 7 (catégorie H)</t>
  </si>
  <si>
    <t>Drapeau du Thème 1 (catégorie B)</t>
  </si>
  <si>
    <t>Est-ce que les coparents tendent vers une saine coparentalité ?</t>
  </si>
  <si>
    <t>Est serein·e face à la séparation</t>
  </si>
  <si>
    <t xml:space="preserve">Accepte les exigences de la coparentalité </t>
  </si>
  <si>
    <t xml:space="preserve">Accepte de faire des compromis </t>
  </si>
  <si>
    <t xml:space="preserve">Respecte la valeur parentale du coparent </t>
  </si>
  <si>
    <t xml:space="preserve">Consulte l’autre parent pour les décisions concernant l’enfant </t>
  </si>
  <si>
    <t xml:space="preserve">Évite de faire des reproches au coparent </t>
  </si>
  <si>
    <t xml:space="preserve">Protège l'enfant des enjeux de séparation </t>
  </si>
  <si>
    <t xml:space="preserve">Favorise et protège le temps parental du coparent  </t>
  </si>
  <si>
    <t>Accepte que les objets voyagent d’une maison à l’autre</t>
  </si>
  <si>
    <t xml:space="preserve">Protège l'enfant du rôle de messager </t>
  </si>
  <si>
    <t>Ne donne pas à l'enfant la responsabilité de choisir</t>
  </si>
  <si>
    <t>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t>
  </si>
  <si>
    <t>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t>
  </si>
  <si>
    <t xml:space="preserve">Donner à son enfant la responsabilité d’être le messager entre ses parents peut l’insécuriser, le déstabiliser et forcer un conflit de loyauté car il devient alors un acteur indirect du conflit. </t>
  </si>
  <si>
    <t>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t>
  </si>
  <si>
    <t>Les comportements suivants méritent une attention particulière, car ils sont susceptibles d'affecter le développement et le bien-être psychologique de l'enfant :</t>
  </si>
  <si>
    <t>Liste entière des comportements miroirs des parents pour évaluer les divergences ou l'harmonie entre les parents</t>
  </si>
  <si>
    <t>Laisse entendre à l'enfant qu'il n'est pas aimé de l'autre parent</t>
  </si>
  <si>
    <t>Demande à l'enfant de garder des secrets</t>
  </si>
  <si>
    <t>Se fâche si l'enfant exprime de l'amour pour l'autre parent</t>
  </si>
  <si>
    <t xml:space="preserve">Fait des menaces de retirer les enfants à l'autre parent </t>
  </si>
  <si>
    <t>Accable l'autre parent de reproches par texto ou courriel</t>
  </si>
  <si>
    <t>Culpabilise l'enfant de son amour pour l'autre parent</t>
  </si>
  <si>
    <t>Déforme les souvenirs de l'enfant</t>
  </si>
  <si>
    <t>Laisse entendre à une instabilité psychologique chez l'autre parent</t>
  </si>
  <si>
    <t>Salue l’autre parent lorsqu’il ou elle le croise</t>
  </si>
  <si>
    <t xml:space="preserve">Respecte l’autorité parentale du coparent </t>
  </si>
  <si>
    <t>Les réponses obtenues aux différents questionnaires indiquent que la coparentalité est exercée de manière égalitaire et harmonieuse.</t>
  </si>
  <si>
    <t xml:space="preserve">n’est pas sereins face à la séparation amoureuse ou face à l’éclatement de la famille. </t>
  </si>
  <si>
    <t xml:space="preserve">accepte difficilement ou rejette les exigences qu’impose la coparentalité (logistique horaires, transport, vacances, etc.). </t>
  </si>
  <si>
    <t xml:space="preserve">doit marcher sur des œufs en présence de l’autre parent ou doit faire des compromis à sens unique afin d’assurer une bonne entente de garde. </t>
  </si>
  <si>
    <t xml:space="preserve">ne reconnaît pas ou ne respecte pas la valeur parentale et l’autorité parentale du coparent. </t>
  </si>
  <si>
    <t xml:space="preserve">prend des décisions concernant l’enfant sans consulter l’autre parent. </t>
  </si>
  <si>
    <t xml:space="preserve">fait des reproches à l'autre parent ou le dénigre en présence de l’enfant. </t>
  </si>
  <si>
    <t xml:space="preserve">Évite de questionner l’enfant à son retour de garde  </t>
  </si>
  <si>
    <t xml:space="preserve">Les réponses obtenues aux différents questionnaires indiquent que votre enfant évolue dans une dynamique de coparentalité saine et favorable à son développement. </t>
  </si>
  <si>
    <t>Voici une liste des principaux enjeux et comportements présentant des risques de créer un sentiment d’insécurité chez votre enfant, d’induire un conflit de loyauté et de nuire à son développement et à son bien-être psychologique, car votre enfant :</t>
  </si>
  <si>
    <t xml:space="preserve">n’est pas libre d’apporter avec lui ou elle ses vêtements, ses jouets ou autres effets personnels d’une maison à l’autre. </t>
  </si>
  <si>
    <t xml:space="preserve">Nous vous recommandons de consulter la section coparentalité de l'onglet Ressources afin de prendre connaissance de la charte de coparentalité et de connaitre les meilleures pratiques et recommandations en matière de coparentalité. 
Le modèle explicatif des conflits sévères de séparation vous renseignera entre autres sur les facteurs aggravants qui contribuent au conflit de séparation. </t>
  </si>
  <si>
    <t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t>
  </si>
  <si>
    <t>Conseils généraux (Autres) : attention : conditon d'ouverture ici ? Si + de 3 cpts ?</t>
  </si>
  <si>
    <t>Le conflit de loyauté insécurise et fragilise la santé psychologique de votre enfant et nuit à son développement. Nous vous recommandons de consulter la rubrique conflit de loyauté dans la section Psychologie de l'onglet Ressources afin de comprendre les répercussions du conflit de loyauté chez votre enfant et de  connaitre les meilleures pratiques en matière de coparentalité.</t>
  </si>
  <si>
    <t xml:space="preserve">Voici une liste des principaux enjeux et comportements présentant des risques de créer des difficultés dans l'exercice de votre coparentalité et de contribuer au conflit de séparation. 
Les risques de tensions, de malentendus et de problèmes de communication augmentent en situation de coparentalité lorsque l’un et/ou l’autre des coparents : </t>
  </si>
  <si>
    <t>Est-ce que votre contexte de coparentalité tend à sécuriser ou à insécuriser votre enfant ?</t>
  </si>
  <si>
    <t>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t>
  </si>
  <si>
    <t xml:space="preserve">À quels comportements préjudiciables votre enfant-il exposé ? </t>
  </si>
  <si>
    <t>Altération ou dévoiement de la réalité</t>
  </si>
  <si>
    <t>Chantage affectif, manipulation</t>
  </si>
  <si>
    <t>Interférence temps ou communication</t>
  </si>
  <si>
    <t>Rôle actif de l'enfant</t>
  </si>
  <si>
    <t xml:space="preserve">Ressent un malaise en présence de l'autre parent </t>
  </si>
  <si>
    <t>Marche sur des œufs en présence de l'autre parent</t>
  </si>
  <si>
    <t>Ne salue pas l'autre arent lorsqu'il ou elle le croise</t>
  </si>
  <si>
    <t>Questionne l'enfant à son retour de garde</t>
  </si>
  <si>
    <t>s’ingère dans la routine ou les méthodes parentale du coparent</t>
  </si>
  <si>
    <t>Donne à l'enfant la responsabilité de choisir</t>
  </si>
  <si>
    <t>Ne reconnaît pas la valeur parentale de l'autre parent</t>
  </si>
  <si>
    <t>N'est pas serein face aux exigences de la coparentalité</t>
  </si>
  <si>
    <t xml:space="preserve">Ne laisse pas les jouets et vêtements se promener d'une maison à l'autre </t>
  </si>
  <si>
    <t>Prend des décisions sans consulter l'autre parent</t>
  </si>
  <si>
    <t>Informe l'enfant des enjeux l'opposant à l'autre parent</t>
  </si>
  <si>
    <t>Considère qu'un enfant de 12 ans est assez mature pour choisir</t>
  </si>
  <si>
    <t>Laisse entendre à l'enfant qu'il n'est pas en sécurité avec l'autre parent</t>
  </si>
  <si>
    <t>Impose à l'enfant la respnsabilité de choisir</t>
  </si>
  <si>
    <t xml:space="preserve">Demande à ce que les désirs de l'enfant soient respectés </t>
  </si>
  <si>
    <t>Dénigre l'autre parent devant l'enfant</t>
  </si>
  <si>
    <t>Présente la nouvelle famille comme étant la "vraie" famille</t>
  </si>
  <si>
    <t>Demande qu'on appelle le nouveau ou nvlle conjoint·e "maman" ou "papa"</t>
  </si>
  <si>
    <t>Communique fréquemment avec l'enfant lorsqu'il est chez l'autre parent</t>
  </si>
  <si>
    <t>Ne facilite pas la communication de l'enfant avec l'autre parent</t>
  </si>
  <si>
    <t xml:space="preserve">Ne considère pas l'autre parent comme son égal </t>
  </si>
  <si>
    <t>Est en compétition avec l'autre parent pour l'amour de l'enfant</t>
  </si>
  <si>
    <t xml:space="preserve">La valeur sociale du parent passe par sa maternité ou sa paternité </t>
  </si>
  <si>
    <t>Impose sa présence lors d'activités destinées (réservées) aux enfants</t>
  </si>
  <si>
    <t>Cherche à blesser l'autre parent</t>
  </si>
  <si>
    <t>Appelle l'autre parent par son prénom</t>
  </si>
  <si>
    <t xml:space="preserve">Considère son nouveau ou sa nouvelle conjoint·e meilleur·e que l'autre parent </t>
  </si>
  <si>
    <t xml:space="preserve">Limite les contacts de l'enfant avec la famille élargie de l'autre parent </t>
  </si>
  <si>
    <t xml:space="preserve">Ne laisse pas les jouets et/ou les vêtements se promener d'une maison à l'autre </t>
  </si>
  <si>
    <t>Laisse entendre à l'enfant que l'autre parent a abandonné la famille</t>
  </si>
  <si>
    <t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t>
  </si>
  <si>
    <t xml:space="preserve">Chantage affectif, manipulation : lorsque le comportement d’un parent induit directement ou indirectement et de manière volontaire ou involontaire un conflit de loyauté chez l’enfant. </t>
  </si>
  <si>
    <t xml:space="preserve">Interférence temps ou communication : lorsqu’un parent s’impose directement ou indirectement durant le temps parental de l’autre parent. </t>
  </si>
  <si>
    <t xml:space="preserve">Rôle actif de l’enfant : Lorsque l’enfant est appelé à jouer un rôle dans le conflit parental. </t>
  </si>
  <si>
    <t xml:space="preserve">Parentification : (en résumé) lorsque les rôles parent-enfant sont inversé et où l’enfant est appelé à accueillir des responsabilités d’adultes ou à être responsable du bien-être de son parent. </t>
  </si>
  <si>
    <t xml:space="preserve">Interférence lien affectif ou symbolique : lorsqu’un parent fragilise le lien affectif entre l’enfant et l’autre parent en s’interposant ou en s’accaparant l’attention ou l’amour de l’enfant ou lorsqu’il attaque la valeur symbolique du rôle de la mère ou du père aux yeux de l’enfant. </t>
  </si>
  <si>
    <t>Il s'agit d'un cmpt souvent inconscient ou involontaire, mais … Ce comportement mérite un DRAPEAU JAUNE.</t>
  </si>
  <si>
    <t>Ce comportement mérite un DRAPEAU ROUGE. Lorem ipsum dolor sit amet. Id voluptatem galisum.</t>
  </si>
  <si>
    <t>Modifie certains faits passés</t>
  </si>
  <si>
    <t>Constat général ou conclusion, le cas échéant</t>
  </si>
  <si>
    <t>Général</t>
  </si>
  <si>
    <t>Le tableau ci-joint présente les principaux comportements divisés par catégories qui influencent, entre autres, la dynamique familiale, la triade (parent répondant, coparent et enfant) et les relations parent-enfant (parents, enfant et nouveau ou nouvelle conjointe, le cas échéant). 
Présentation et définition des catégories :</t>
  </si>
  <si>
    <t>Baromètre 7:</t>
  </si>
  <si>
    <t>Les constats (les 7 plus importants sont affichés)</t>
  </si>
  <si>
    <t>Drapeau sur le comportement priorité #1</t>
  </si>
  <si>
    <t>Drapeau sur le comportement priorité #2</t>
  </si>
  <si>
    <t>Drapeau sur le comportement priorité #3</t>
  </si>
  <si>
    <t>Drapeau sur le comportement priorité #4</t>
  </si>
  <si>
    <t>Drapeau sur le comportement priorité #5</t>
  </si>
  <si>
    <t>Drapeau sur le comportement priorité #6</t>
  </si>
  <si>
    <t>Drapeau sur le comportement priorité #7</t>
  </si>
  <si>
    <t>Autres drapeaux à lever</t>
  </si>
  <si>
    <t xml:space="preserve">sécurité </t>
  </si>
  <si>
    <t xml:space="preserve">conflit de loyauté </t>
  </si>
  <si>
    <t xml:space="preserve">L’autre parent adopte-t-il ou elle des comportements trahissant un désir d’exclusion parentale ? </t>
  </si>
  <si>
    <t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t>
  </si>
  <si>
    <t xml:space="preserve">L’analyse des réponses aux questionnaires révèle un désir d’exclusion parentale POSSIBLE. Certains comportements du coparent tendent consciemment ou inconsciemment à dénigrer votre valeur parentale, pouvant ainsi affecter votre lien affectif avec votre enfant. </t>
  </si>
  <si>
    <t>L’analyse des réponses aux questionnaires révèle un désir d’exclusion parentale PROBABLE. Certains comportements semblent employés dans le but de vous exclure de l’exercice de la coparentalité de façon injustifiée. Votre enfant semble être exposé au conflit parental et le dénigrement de votre valeur parentale ou de votre autorité parentale concourent à saboter votre temps parental ou votre relation avec votre enfant.</t>
  </si>
  <si>
    <t xml:space="preserve">L’autre parent semble donner à votre enfant la responsabilité de choisir – où il devrait vivre et/ou le respect de votre temps parental. De respecter le temps parental prévu. Ce qui pourrait fragiliser votre relation avec votre enfant. </t>
  </si>
  <si>
    <t xml:space="preserve">L’autorité parentale et le temps parental ne semblent pas être respectés par l'’autre parent qui semble donner à votre enfant la responsabilité de choisir le respect de votre temps parental. De respecter le temps parental prévu. Ce qui pourrait fragiliser votre relation avec votre enfant. </t>
  </si>
  <si>
    <t xml:space="preserve">L’intention de vous exclure des décisions concernant votre enfant a été exprimée par l’autre parent. </t>
  </si>
  <si>
    <t>Nous vous recommandons de consulter la section Psychologie de l'onglet Ressources afin de comprendre les répercussions du conflit de loyauté chez votre enfant et de connaitre les meilleures pratiques en matière de coparentalité.</t>
  </si>
  <si>
    <t xml:space="preserve">L’exclusion parentale consiste à éliminer un parent (physiquement ou symboliquement) de la vie d’un enfant. En dénigrant la valeur parentale et l’autorité parentale, en détruisant les souvenirs, en interférent sur le temps parental, sur l’image et la place symbolique d’un parent dans la vie d’un enfant et en s’éloignant et en bafouant les principes de la coparentalité. </t>
  </si>
  <si>
    <t xml:space="preserve">Les comportements de l’autre parent trahissent une relation fusionnelle avec votre enfant ou le désir conscient ou inconscient d’entretenir une relation privilégiée avec votre enfant où il ou elle se positionnerait comme étant LE parent significatif dans la vie de votre enfant.  </t>
  </si>
  <si>
    <t>Les comportements de l’autre parent indiquent une relation fusionnelle avec votre enfant ou le désir conscient ou inconscient d’entretenir une relation privilégiée avec votre enfant.</t>
  </si>
  <si>
    <t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t>
  </si>
  <si>
    <t>La parentification est le processus d'inversion des rôles par lequel un enfant se voit forcé d’agir, inconsciemment, en tant que parent de son propre parent. Dans les cas extrêmes, l'enfant est utilisé pour combler le vide de la vie émotionnelle du parent aliénant. 
La parentification de l’enfant est un processus interne à la vie familiale qui amène un enfant ou un adolescent à prendre des responsabilités plus importantes que ne le voudraient son âge et sa maturation et qui le conduisent à devenir un parent pour son parent (Parentification et thérapie familiale par Jean François GOFF).</t>
  </si>
  <si>
    <t xml:space="preserve">En dénigrant la valeur parentale et l’autorité parentale, en détruisant les souvenirs, en interférent sur le temps parental, sur l’image et la place symbolique d’un parent dans la vie d’un enfant et en s’éloignant et en bafouant les principes de la coparentalité. </t>
  </si>
  <si>
    <t xml:space="preserve">Cette section entière mérite un drapeau jaune soulevant les principes rencontrés dans les comportements de la section. </t>
  </si>
  <si>
    <t>L'autre parent laisse entendre à votre enfant qu'il ou elle représente la vraie famille.</t>
  </si>
  <si>
    <t xml:space="preserve">L'autre parent laisse entendre à votre enfant qu'il ou elle représente la vraie famille, </t>
  </si>
  <si>
    <t xml:space="preserve">Lorem ipsum eligendi tempora qui nihil animi qui dolore consequatur  – DRAPEAU JAUNE PAR THÈME -- unde similique sed deserunt aperiam ad eligendi tempora! </t>
  </si>
  <si>
    <t xml:space="preserve">Lorem ipsum – DRAPEAU ROUGE PAR COMPORTEMENT TYPIQUEMENT AP – jeter ce qui vient de vous affecte le droit de votre enfant d'être en relation avec vous ou d'exposer son amour ou relater des expériences ou activités heureuses vécues avec vous. </t>
  </si>
  <si>
    <t xml:space="preserve">Lorem ipsum – DRAPEAU ROUGE PAR COMPORTEMENT TYPIQUEMENT AP – Diificile pour l'enfant d'entendre (indirectement) que vous ne représentez pas la vraie familille. Affectera l'esprit et le sentiment de sécurité affective de l'enfant. </t>
  </si>
  <si>
    <t xml:space="preserve">Quelle est la contribution du nouveau ou de la nouvelle conjoint·e dans la dynamique conflictuelle de coparentalité ? </t>
  </si>
  <si>
    <t>Lorem ipsum – DRAPEAU ROUGE PAR COMPORTEMENT TYPIQUEMENT AP – similique sed deserunt aperiam ad eligendi tempora! Est voluptas omnis cum expedita autem aut quod illum qui consequatur cumque qui incidunt doloribus.</t>
  </si>
  <si>
    <t xml:space="preserve">Lorem ipsum eligendi  – DRAPEAU JAUNE PAR THÈME -- donner à l'enfant la responsabilité de chosir va à l'encontre de son intérêt -- unde similique sed deserunt aperiam ad eligendi tempora! </t>
  </si>
  <si>
    <t xml:space="preserve">Le NC demande à ce que les désirs de l'enfant soit respectés, s'arrogeant une autorité parentale qui ne lui revient pas.  </t>
  </si>
  <si>
    <t xml:space="preserve">Lorem ipsum eligendi tempora – DRAPEAU JAUNE PAR THÈME qui nihil animi qui dolore consequatur unde similique sed deserunt aperiam ad eligendi tempora! </t>
  </si>
  <si>
    <t>Nous vous recommandons de consulter la rubrique conflit de loyauté dans la section Psychologie de l'onglet Ressources afin de comprendre les répercussions du conflit de loyauté chez votre enfant et de  connaitre les meilleures pratiques en matière de coparentalité.</t>
  </si>
  <si>
    <t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t>
  </si>
  <si>
    <t xml:space="preserve">Bloc "Interprétation et Conseils" </t>
  </si>
  <si>
    <t xml:space="preserve">Comment se comporte l'enfant face à son contexte familial et face à l’exposition de comportements préjudiciables ? </t>
  </si>
  <si>
    <t>Ce baromètre présente les principales réactions observées chez l’enfant suite à son exposition à des comportements aliénants de la part d’un ou l’autre des parents : dénigrement, chantage affectif, interférence temps parental ou communication, etc.</t>
  </si>
  <si>
    <t xml:space="preserve">L’analyse des réponses obtenues aux questionnaires révèle un degré d’implication léger de la part du nouveau ou de la nouvelle conjoint·e dans la dynamique familiale. </t>
  </si>
  <si>
    <t>L’analyse des réponses obtenues aux questionnaires révèle un degré d’implication élevé de la part du nouveau ou de la nouvelle conjoint·e dans la dynamique familiale. 
Le rôle et l'influence du nouveau ou de la nouvelle conjoint·e seraient à la base de certaines tensions et seraient en partie responsables des difficultés rencontrés dans l'exercice de la coparentalité.</t>
  </si>
  <si>
    <t>L’analyse des réponses obtenues aux questionnaires révèle un degré d’implication modéré de la part du nouveau ou de la nouvelle conjoint·e dans la dynamique familiale. 
Le rôle et l'influence du nouveau ou de la nouvelle conjoint·e pourraient être à la base de certaines tensions et difficultés rencontrés dans l'exercice de la coparentalité.</t>
  </si>
  <si>
    <t xml:space="preserve">Il ou elle semble laisser entendre que votre enfant n'est pas en sécurité lorsqu'il ou elle est avec vous ou sous votre responsabilité. </t>
  </si>
  <si>
    <t>Lorsque le nouveau ou la nouvelle conjoint·e vous ignore lorsqu'il ou elle vous croise en compagnie de votre enfant … nourrit un mailaise, une rupture entre chez papa et maman qui n'est pas pas idéal pour votre enfant. Prenez le temps à contrario de saluer le nouveau ou la nouvelle conjoint·e de l'autre parent. Pour votre enfant. Pour éviter qu'il ou elle se trouve en conlfit de loyauté.</t>
  </si>
  <si>
    <t xml:space="preserve">Une certaine complicité semble s'être installée entre votre enfant et le nouveau ou la nouvelle conjoint·e de l'autre parent. </t>
  </si>
  <si>
    <t xml:space="preserve">Bien qu'il ou elle ait le réflexe de vous ignorer ou de passer son chemin lorsqu'il ou elle vous croise avec votre enfant, prenez le temps de saluer le nouveau ou la nouvelle conjoint·e de l'autre parent afin d'éviter à votre enfant d'être pris au coeur d'un conflit de loyauté. </t>
  </si>
  <si>
    <t xml:space="preserve">Il ou elle semble avoir créé une certaine alliance avec votre enfant qui pourrait aller au-delà d'une complicité attendue entre un enfant et son beau-parent. </t>
  </si>
  <si>
    <t>Il ou elle semble avoir créé une alliance qui va au-delà d'une complicité normale entre un enfant et son beau-parent.</t>
  </si>
  <si>
    <t>Il ou elle semble vous ignorer lorsqu'il ou elle vous croise en compagnie de votre enfant, créant possiblement un malaise pour votre enfant et créer un conlfit de loyauté.</t>
  </si>
  <si>
    <t xml:space="preserve">On laisse entendre à l'enfant qu'il n'est pas en sécurité  – DRAPEAU ROUGE * COMPORTEMENT TYPIQUEMENT AP – similique sed deserunt aperiam ad eligendi tempora! </t>
  </si>
  <si>
    <t>Le rôle du NC va  – DRAPEAU ROUGE PAR COMPORTEMENT TYPIQUEMENT AP – similique sed deserunt aperiam ad eligendi tempora! Est voluptas omnis cum expedita autem aut quod illum qui consequatur cumque qui incidunt doloribus.</t>
  </si>
  <si>
    <t xml:space="preserve">Si votre enfant est témoin d'un dénigrement à votre endroit. Affecte l'enfant. Selon l'importance ou degré de dénigrement. Votre enfant pourrait ne pas se sentir libre d'exprimer libérement son amour pour ses parents. Censure chez l'enfant. </t>
  </si>
  <si>
    <t xml:space="preserve">L'affection du NC pour votre enfant et la relation es responsabilités peut créer un peu confusion chez l'enfant et/ou affecter la valeur symbolique. </t>
  </si>
  <si>
    <t xml:space="preserve">Le nouveau ou la nouvelle conjoint·e vous ignore lorsqu'il ou elle vous croise en compagnie de votre enfant. Ce qui nourit possiblement un malaise et conlfit de loyauté. Chez votre enfant. </t>
  </si>
  <si>
    <t>Les responsabilités du nouveau ou nouvelle conjoint·e au niveau de la logistique familiale pourraient semer une confusion chez l'enfant quant au rôle de chaque parent et de l'autorité parentale.</t>
  </si>
  <si>
    <t>On note une certaine ingérence ou interférence de la part du nouveau ou nouvelle conjoint·e au niveau de la logistique familiale qui peut semer une confusion chez l'enfant.</t>
  </si>
  <si>
    <t>la valeur parentale du coparent Le nouvse subsitue au rôle maternel ou parental ce qui peut créer de la confusion chez l'enfant.</t>
  </si>
  <si>
    <t>On décèle un certain degré d'ingérence ou d'interférence de la part du nouveau ou de la nouvelle conjoint·e au niveau de la logistique familiale, ce qui sème possiblement de la confusion chez votre enfant quant à l'exercice de la coparentalité ou de votre autorité parentale.</t>
  </si>
  <si>
    <t xml:space="preserve">Le NC semble se subsituer au rôle maternel ou paretenel, ce qui crée possiblement une certaine  confusion sur le plan affectif chez votre enfant.  </t>
  </si>
  <si>
    <t xml:space="preserve">Le récit du passé de votre enfant est altéré par l'autre parent qui déforme les souvenirs de votre enfant. </t>
  </si>
  <si>
    <t xml:space="preserve">L'autre parent dénigre vos compétences parentales par texto ou par courriel. </t>
  </si>
  <si>
    <t>On cherche à limiter les contacts entre votre enfant et votre famille élargie (cousin.es, grands-parents, etc.).</t>
  </si>
  <si>
    <t xml:space="preserve">Méthode ADR : Important de rassurer votre enfant sans impliquer ou blâmer l'autre parent </t>
  </si>
  <si>
    <t>Votre enfant défend l'autre parent et calque ses paroles ou ses désirs quoi que vous disiez, quoi que vous fassiez ; l'autre parent semble par ailleurs être parfait aux yeux de votre enfant.</t>
  </si>
  <si>
    <t xml:space="preserve">Votre enfant semble avoir adapté ses champs d'intérêts et ses valeurs pour épouser ceux de l'autre parent. </t>
  </si>
  <si>
    <t xml:space="preserve">L'autre parent semble forcer votre enfant à choisir entre ses deux parents. </t>
  </si>
  <si>
    <t>Il est important de se familiariser avec le principe de CNV et de la contre manipulation au besoin. Et de consulter la section coparentalité dont la charte de la coparentalité.</t>
  </si>
  <si>
    <t>Il est important de se familiariser avec le principe de CNV et de la contre manipulation au besoin. Et de mobiliser l'autre parent dans le retour d'une saine coparentalité. Invitation à consutler la section coparentalité dont la charte de la coparentalité.</t>
  </si>
  <si>
    <t>Méthode ADR appliquée avec exemple de réponse à venir (important de rassurer votre enfant et de recadrer sans impliquer ou blâmer l'autre parent).</t>
  </si>
  <si>
    <t xml:space="preserve">Il est préférable de ne pas laisser votre enfant choisir de rendre visite à l’autre parent ou d’habiter chez lui, par exemple. Même si cela n’est pas votre intention, cela le forcerait à choisir entre deux personnes qu’il aime. Cette responsabilité incombe aux deux parents. Le jeune enfant n’a pas la maturité pour le faire, et même s’il est plus âgé, il s’agit d’une responsabilité d’adulte. </t>
  </si>
  <si>
    <t>Lorem ipsum – DRAPEAU ROUGE / COMPORTEMENT AP – similique sed deserunt aperiam ad eligendi tempora! Est voluptas omnis cum expedita autem aut quod illum qui consequatur.</t>
  </si>
  <si>
    <t xml:space="preserve">Rassurez votre enfant. Dites-lui que vous êtes heureux que l’autre parent et son ou sa partenaire comptent pour lui. Il est important que votre enfant sache et ressente qu’il ne perdra pas l’amour d’un de ses parents en restant loyal envers l’autre. Il pourra ainsi conserver le lien et l’affection dont il a besoin avec chaque parent. </t>
  </si>
  <si>
    <t>Thème 1 - Constat</t>
  </si>
  <si>
    <t>Thème 1 - Conseil, s'il y en a un</t>
  </si>
  <si>
    <t>Thème 2 - Conseil, s'il y en a un</t>
  </si>
  <si>
    <t>Thème 3 - Conseil, s'il y en a un</t>
  </si>
  <si>
    <t>Thème 4 - Conseil, s'il y en a un</t>
  </si>
  <si>
    <t>Thème 5 - Conseil, s'il y en a un</t>
  </si>
  <si>
    <t>Thème 6 - Conseil, s'il y en a un</t>
  </si>
  <si>
    <t>Thème 7 - Conseil, s'il y en a un</t>
  </si>
  <si>
    <t>Thème 2 - Constat</t>
  </si>
  <si>
    <t>Thème 3 - Constat</t>
  </si>
  <si>
    <t>Thème 4 - Constat</t>
  </si>
  <si>
    <t>Thème 5 - Constat</t>
  </si>
  <si>
    <t>Thème 6 - Constat</t>
  </si>
  <si>
    <t>Thème 7 - Constat</t>
  </si>
  <si>
    <t>Conseil</t>
  </si>
  <si>
    <t>Drapeau rouge</t>
  </si>
  <si>
    <t>Drapeau jaune</t>
  </si>
  <si>
    <t>Il est important de se familiariser avec le principe de communication non violente (CNV) et de la contre manipulation au besoin. Et de consulter la section coparentalité de l'onglet Ressources, dont la charte de la coparentalité.</t>
  </si>
  <si>
    <t xml:space="preserve">Votre enfant change d'attitude lorsqu'il ou elle est en présence de l'autre parent. </t>
  </si>
  <si>
    <t>Votre enfant subit de la pression pour passer plus de temps chez l'autre parent (par opposition à du temps en votre compagnie).</t>
  </si>
  <si>
    <t>L'autre parent (ou son nouveau ou nouvelle conjoint·e) s'impose régulièrement sur votre temps parental (tour de garde).</t>
  </si>
  <si>
    <t xml:space="preserve">Votre enfant n'est pas libre d'apporter ses vêtements, ses jouets ou autres effets personnels d'une maison à l'autre. </t>
  </si>
  <si>
    <t xml:space="preserve">Votre enfant cherche à vous convaincre des qualités de l'autre parent et sent le besoin de le défendre ou de défendre ses positions ou ses intérêts. </t>
  </si>
  <si>
    <t>On décèle un certain climat de tension qui pourrait rendre l'exercice de la coparentalité plus difficile.</t>
  </si>
  <si>
    <t>Un climat de tension rend l'exercice de la coparentalité difficile.</t>
  </si>
  <si>
    <t>s’ingère dans la routine ou les méthodes parentales du coparent.</t>
  </si>
  <si>
    <t>ignore l’autre parent lorsqu’il ou elle le croise durant les changements de garde ou lors d’événements culturels ou sportifs de l’enfant.</t>
  </si>
  <si>
    <t xml:space="preserve">est appelé à tenir le rôle de messager entre ses parents, devenant indirectement responsable des conflits parentaux ou des horaires, activités et rendez-vous qui le concernent. </t>
  </si>
  <si>
    <t xml:space="preserve">est au courant des échanges texto et/ou courriels entre vous et votre coparent devenant indirectement responsable des enjeux qui vous opposent à l’autre parent. </t>
  </si>
  <si>
    <t xml:space="preserve">est questionné à son retour de garde au sujet de la routine et/ou des activités faites chez l’autre parent. </t>
  </si>
  <si>
    <t xml:space="preserve">a la responsabilité direct ou indirecte de choisir la fréquence des visites et le temps qu’il passe avec l’un ou l’autre de ses parents.  </t>
  </si>
  <si>
    <t xml:space="preserve">a la responsabilité direct ou indirecte de choisir avec quel parent et où il souhaite vivre.  </t>
  </si>
  <si>
    <t xml:space="preserve">Dénigrement : lorsque la valeur ou l'autorié morale ou parentale de l’autre parent est diminuée ou discréditée aux yeux de l’enfant. </t>
  </si>
  <si>
    <t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t>
  </si>
  <si>
    <t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t>
  </si>
  <si>
    <t>L'enfant enregistre indirectement le message suivant : il n'est pas autorisé à être en relation avec son autre parent.</t>
  </si>
  <si>
    <t>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t>
  </si>
  <si>
    <t>Les comportements suivants méritent une attention particulière, car ils sont susceptibles d'affecter le bien-être psychologique et le développement de l'enfant :</t>
  </si>
  <si>
    <t>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t>
  </si>
  <si>
    <t xml:space="preserve">Votre enfant laisse entendre que vous ne l'aimez pas vraiment (par opposition à l'autre parent), que vous l'avez abandonné ou abandonné la famille au moment de la séparation. </t>
  </si>
  <si>
    <t xml:space="preserve">Votre enfant laisse entendre que vous êtes instable psychologiquement. </t>
  </si>
  <si>
    <t xml:space="preserve">Votre enfant laisse entendre qu'il n'était pas en sécurité lorsqu'il ou elle est sous votre responsabilité. </t>
  </si>
  <si>
    <t xml:space="preserve">Votre enfant se sent coupable de l'amour qu'il vous porte. </t>
  </si>
  <si>
    <t xml:space="preserve">Votre enfant vous accable de question ou de reproches à son retour (changement de garde).  </t>
  </si>
  <si>
    <t xml:space="preserve">Votre enfant laisse entendre que sa vraie famille est avec l'autre parent. </t>
  </si>
  <si>
    <t xml:space="preserve">Votre enfant appelle Le nouveau ou la nouvelle conjoint·e papa ou maman </t>
  </si>
  <si>
    <t>Votre enfant impose des changements d'horaire (de garde) sans vous consulter.</t>
  </si>
  <si>
    <t xml:space="preserve">Votre enfant écourte ou refuse les conversations téléphoniques avec vous lorsqu'il u elle est chez l'autre parent. </t>
  </si>
  <si>
    <t xml:space="preserve">Votre enfant connaît des détails intimes de votre vie. </t>
  </si>
  <si>
    <t xml:space="preserve">Votre enfant est au courant des enjeux juridiques ou des conflits qui vous opposent à l'autre parent. </t>
  </si>
  <si>
    <t xml:space="preserve">Votre enfant vous dénigre en présence de l'autre parent. </t>
  </si>
  <si>
    <t xml:space="preserve">Votre enfant demande le droit de choisir de respecter ou non votre temps parental. </t>
  </si>
  <si>
    <t xml:space="preserve">Votre enfant demande de choisir avec qui il ou elle souhaite vivre </t>
  </si>
  <si>
    <t>Votre enfant vous demande de respecter ses désirs et ses choix.</t>
  </si>
  <si>
    <t xml:space="preserve">L’exposition à des comportements aliénants est susceptible d'insécuriser votre enfant et de fragiliser sa relation avec un de ses parents et d’induire un conflit de loyauté important. Les comportements aliénants participent par ailleurs à l’instrumentaliser de l'enfant dans la mission (injonction directe ou directe) de favoriser un parent au détriment de l’autre.  Voici les principaux comportements adoptés par votre enfant en réponse à son exposition aux comportements aliénants (délétères) : </t>
  </si>
  <si>
    <t>Votre enfant garde des secrets ou vous cache des choses concernant sa relation avec l'autre parent.</t>
  </si>
  <si>
    <t>Votre enfant dénigre votre famille (famille recomposée ou famille élargie).</t>
  </si>
  <si>
    <t>Votre enfant s'exprime avec des paroles ou des expressions empruntées à l'autre parent ou tient des propos d'adultes (ou qui ne sont pas vraiment de son âge).</t>
  </si>
  <si>
    <t xml:space="preserve">Si l’enfant pense que sa mère ou son père souffre en son absence, il pourrait se sentir coupable quand il éprouve du plaisir chez l’autre parent et tenter de protéger le parent qui lui semble vulnérable lorsqu’il parle des moments passés avec l’autre.
</t>
  </si>
  <si>
    <t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t>
  </si>
  <si>
    <t>Mettre par catégorie et faire légende avec définition de chaque catégorie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</si>
</sst>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0.0%"/>
    <numFmt numFmtId="167" formatCode="_(* #,##0.0_);_(* \(#,##0.0\);_(* &quot;-&quot;??_);_(@_)"/>
  </numFmts>
  <fonts count="159"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b/>
      <sz val="20"/>
      <color theme="4"/>
      <name val="Calibri"/>
      <family val="2"/>
      <scheme val="minor"/>
    </font>
    <font>
      <b/>
      <i/>
      <sz val="12"/>
      <color theme="1"/>
      <name val="Calibri"/>
      <family val="2"/>
      <scheme val="minor"/>
    </font>
    <font>
      <b/>
      <sz val="10"/>
      <color theme="1"/>
      <name val="Calibri"/>
      <family val="2"/>
      <scheme val="minor"/>
    </font>
    <font>
      <sz val="12"/>
      <color rgb="FFFF0000"/>
      <name val="Calibri (Corps)"/>
    </font>
    <font>
      <u/>
      <sz val="12"/>
      <color theme="0"/>
      <name val="Calibri (Corps)"/>
    </font>
    <font>
      <sz val="22"/>
      <name val="Calibri"/>
      <family val="2"/>
      <scheme val="minor"/>
    </font>
    <font>
      <sz val="22"/>
      <color theme="1"/>
      <name val="Calibri"/>
      <family val="2"/>
      <scheme val="minor"/>
    </font>
    <font>
      <u/>
      <sz val="12"/>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
      <u/>
      <sz val="12"/>
      <color rgb="FFFF0000"/>
      <name val="Calibri"/>
      <family val="2"/>
      <scheme val="minor"/>
    </font>
    <font>
      <i/>
      <u/>
      <sz val="12"/>
      <color theme="1"/>
      <name val="Calibri"/>
      <family val="2"/>
      <scheme val="minor"/>
    </font>
    <font>
      <sz val="11"/>
      <color rgb="FF000000"/>
      <name val="Calibri"/>
      <family val="2"/>
    </font>
    <font>
      <sz val="22"/>
      <color theme="0"/>
      <name val="Calibri"/>
      <family val="2"/>
      <scheme val="minor"/>
    </font>
    <font>
      <i/>
      <sz val="14"/>
      <color theme="1"/>
      <name val="Calibri"/>
      <family val="2"/>
      <scheme val="minor"/>
    </font>
    <font>
      <b/>
      <sz val="12"/>
      <name val="Calibri"/>
      <family val="2"/>
      <scheme val="minor"/>
    </font>
    <font>
      <sz val="12"/>
      <color rgb="FF27292A"/>
      <name val="Helvetica Neue"/>
      <family val="2"/>
    </font>
    <font>
      <sz val="18"/>
      <color rgb="FF27292A"/>
      <name val="Helvetica Neue"/>
      <family val="2"/>
    </font>
    <font>
      <sz val="12"/>
      <color rgb="FF27292A"/>
      <name val="Calibri"/>
      <family val="2"/>
      <scheme val="minor"/>
    </font>
    <font>
      <sz val="18"/>
      <color theme="0"/>
      <name val="Calibri"/>
      <family val="2"/>
      <scheme val="minor"/>
    </font>
    <font>
      <u/>
      <sz val="18"/>
      <color theme="1"/>
      <name val="Calibri"/>
      <family val="2"/>
      <scheme val="minor"/>
    </font>
    <font>
      <b/>
      <sz val="16"/>
      <color rgb="FF000000"/>
      <name val="Calibri"/>
      <family val="2"/>
      <scheme val="minor"/>
    </font>
    <font>
      <b/>
      <sz val="11"/>
      <color rgb="FFFF0000"/>
      <name val="Calibri"/>
      <family val="2"/>
      <scheme val="minor"/>
    </font>
    <font>
      <u/>
      <sz val="11"/>
      <color theme="1"/>
      <name val="Calibri"/>
      <family val="2"/>
      <scheme val="minor"/>
    </font>
    <font>
      <i/>
      <u/>
      <sz val="12"/>
      <color rgb="FFFF0000"/>
      <name val="Calibri"/>
      <family val="2"/>
      <scheme val="minor"/>
    </font>
    <font>
      <sz val="14"/>
      <color rgb="FF000000"/>
      <name val="Calibri"/>
      <family val="2"/>
      <scheme val="minor"/>
    </font>
    <font>
      <b/>
      <sz val="12"/>
      <color rgb="FF000000"/>
      <name val="Calibri"/>
      <family val="2"/>
      <scheme val="minor"/>
    </font>
    <font>
      <sz val="14"/>
      <color rgb="FFFF0000"/>
      <name val="Calibri"/>
      <family val="2"/>
      <scheme val="minor"/>
    </font>
    <font>
      <sz val="16"/>
      <color rgb="FFFFFFFF"/>
      <name val="Calibri"/>
      <family val="2"/>
      <scheme val="minor"/>
    </font>
    <font>
      <sz val="22"/>
      <color rgb="FFFF0000"/>
      <name val="Calibri"/>
      <family val="2"/>
      <scheme val="minor"/>
    </font>
  </fonts>
  <fills count="80">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theme="2" tint="-0.249977111117893"/>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
      <patternFill patternType="solid">
        <fgColor theme="9" tint="-0.249977111117893"/>
        <bgColor indexed="64"/>
      </patternFill>
    </fill>
    <fill>
      <patternFill patternType="solid">
        <fgColor theme="0" tint="-0.14999847407452621"/>
        <bgColor rgb="FF000000"/>
      </patternFill>
    </fill>
    <fill>
      <patternFill patternType="solid">
        <fgColor rgb="FFEED7FC"/>
        <bgColor rgb="FF000000"/>
      </patternFill>
    </fill>
    <fill>
      <patternFill patternType="solid">
        <fgColor theme="2"/>
        <bgColor rgb="FF000000"/>
      </patternFill>
    </fill>
    <fill>
      <patternFill patternType="solid">
        <fgColor rgb="FF000000"/>
        <bgColor rgb="FF000000"/>
      </patternFill>
    </fill>
    <fill>
      <patternFill patternType="solid">
        <fgColor theme="8" tint="0.79998168889431442"/>
        <bgColor rgb="FF000000"/>
      </patternFill>
    </fill>
  </fills>
  <borders count="12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
      <left style="hair">
        <color indexed="64"/>
      </left>
      <right style="thin">
        <color indexed="64"/>
      </right>
      <top style="hair">
        <color indexed="64"/>
      </top>
      <bottom style="hair">
        <color indexed="64"/>
      </bottom>
      <diagonal/>
    </border>
    <border>
      <left style="hair">
        <color auto="1"/>
      </left>
      <right style="hair">
        <color auto="1"/>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hair">
        <color auto="1"/>
      </left>
      <right style="thin">
        <color indexed="64"/>
      </right>
      <top style="thin">
        <color indexed="64"/>
      </top>
      <bottom style="thin">
        <color indexed="64"/>
      </bottom>
      <diagonal/>
    </border>
    <border>
      <left/>
      <right style="hair">
        <color indexed="64"/>
      </right>
      <top/>
      <bottom style="thin">
        <color indexed="64"/>
      </bottom>
      <diagonal/>
    </border>
    <border>
      <left style="hair">
        <color auto="1"/>
      </left>
      <right style="hair">
        <color auto="1"/>
      </right>
      <top style="thin">
        <color indexed="64"/>
      </top>
      <bottom/>
      <diagonal/>
    </border>
    <border>
      <left style="thin">
        <color indexed="64"/>
      </left>
      <right style="hair">
        <color indexed="64"/>
      </right>
      <top style="hair">
        <color indexed="64"/>
      </top>
      <bottom/>
      <diagonal/>
    </border>
    <border>
      <left style="thick">
        <color auto="1"/>
      </left>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thin">
        <color indexed="64"/>
      </top>
      <bottom/>
      <diagonal/>
    </border>
    <border>
      <left/>
      <right style="hair">
        <color indexed="64"/>
      </right>
      <top style="thin">
        <color indexed="64"/>
      </top>
      <bottom style="hair">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657">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0" fontId="7" fillId="16" borderId="0" xfId="0" applyFont="1" applyFill="1" applyAlignment="1">
      <alignment horizontal="center" vertical="center" wrapText="1"/>
    </xf>
    <xf numFmtId="1" fontId="0" fillId="16" borderId="0" xfId="0" applyNumberFormat="1" applyFill="1" applyAlignment="1">
      <alignment horizontal="center" vertical="center"/>
    </xf>
    <xf numFmtId="0" fontId="0" fillId="17" borderId="0" xfId="0" applyFill="1" applyAlignment="1">
      <alignment horizontal="center" vertical="center" wrapText="1"/>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5"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4" fontId="0" fillId="0" borderId="4"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0" fillId="2" borderId="0" xfId="0" applyFill="1" applyAlignment="1">
      <alignment horizontal="left" vertical="center"/>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2" fillId="0" borderId="0" xfId="0" applyFont="1" applyAlignment="1">
      <alignment horizontal="center" vertical="center"/>
    </xf>
    <xf numFmtId="9" fontId="0" fillId="0" borderId="0" xfId="0" applyNumberFormat="1" applyAlignment="1">
      <alignment horizontal="center"/>
    </xf>
    <xf numFmtId="1" fontId="0" fillId="0" borderId="0" xfId="0" applyNumberFormat="1" applyAlignment="1">
      <alignment horizontal="center"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5"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3"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7" borderId="0" xfId="0" applyNumberFormat="1" applyFill="1" applyAlignment="1">
      <alignment horizontal="center" vertical="center" wrapText="1"/>
    </xf>
    <xf numFmtId="1" fontId="0" fillId="47"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4" fontId="0" fillId="0" borderId="0"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9" fontId="0" fillId="0" borderId="0" xfId="0" applyNumberFormat="1"/>
    <xf numFmtId="0" fontId="56" fillId="25" borderId="15" xfId="0" applyFont="1" applyFill="1" applyBorder="1" applyAlignment="1">
      <alignment horizontal="center" vertical="center" wrapText="1"/>
    </xf>
    <xf numFmtId="0" fontId="32" fillId="49" borderId="0" xfId="0" applyFont="1" applyFill="1" applyAlignment="1">
      <alignment horizontal="center" vertical="center" wrapText="1"/>
    </xf>
    <xf numFmtId="0" fontId="32" fillId="43" borderId="0" xfId="0" applyFont="1" applyFill="1" applyAlignment="1">
      <alignment horizontal="center" vertical="center" wrapText="1"/>
    </xf>
    <xf numFmtId="9" fontId="0" fillId="0" borderId="0" xfId="2" applyFont="1" applyFill="1" applyAlignment="1">
      <alignment horizontal="center" vertical="center" wrapText="1"/>
    </xf>
    <xf numFmtId="0" fontId="32" fillId="50" borderId="15" xfId="0" applyFont="1" applyFill="1" applyBorder="1" applyAlignment="1">
      <alignment horizontal="center" vertical="center" wrapText="1"/>
    </xf>
    <xf numFmtId="0" fontId="55" fillId="39"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1" borderId="19" xfId="0" applyFont="1" applyFill="1" applyBorder="1" applyAlignment="1">
      <alignment horizontal="center" vertical="center" wrapText="1"/>
    </xf>
    <xf numFmtId="0" fontId="0" fillId="35" borderId="16" xfId="0" applyFill="1" applyBorder="1" applyAlignment="1">
      <alignment horizontal="center" vertical="center" wrapText="1"/>
    </xf>
    <xf numFmtId="0" fontId="27" fillId="0" borderId="0" xfId="0" applyFont="1" applyAlignment="1">
      <alignment horizontal="left"/>
    </xf>
    <xf numFmtId="0" fontId="27" fillId="37" borderId="24" xfId="0" applyFont="1" applyFill="1" applyBorder="1" applyAlignment="1">
      <alignment horizontal="left" vertical="center"/>
    </xf>
    <xf numFmtId="0" fontId="27" fillId="38"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0" borderId="24" xfId="0" applyFont="1" applyFill="1" applyBorder="1" applyAlignment="1">
      <alignment horizontal="left" vertical="center" wrapText="1"/>
    </xf>
    <xf numFmtId="0" fontId="50" fillId="41"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1" borderId="26" xfId="0" applyFill="1" applyBorder="1" applyAlignment="1">
      <alignment horizontal="center" vertical="center" wrapText="1"/>
    </xf>
    <xf numFmtId="0" fontId="30" fillId="0" borderId="26" xfId="0" applyFont="1" applyBorder="1" applyAlignment="1">
      <alignment horizontal="center" vertical="center"/>
    </xf>
    <xf numFmtId="0" fontId="30" fillId="37"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49" borderId="2"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49" borderId="14" xfId="0" applyFont="1" applyFill="1" applyBorder="1" applyAlignment="1">
      <alignment horizontal="center" vertical="center" wrapText="1"/>
    </xf>
    <xf numFmtId="0" fontId="32" fillId="39"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4" borderId="9" xfId="0" applyFill="1" applyBorder="1" applyAlignment="1">
      <alignment horizontal="center" vertical="center" wrapText="1"/>
    </xf>
    <xf numFmtId="0" fontId="0" fillId="34" borderId="22" xfId="0" applyFill="1" applyBorder="1" applyAlignment="1">
      <alignment horizontal="left" vertical="center" wrapText="1"/>
    </xf>
    <xf numFmtId="0" fontId="0" fillId="34" borderId="16" xfId="0" applyFill="1" applyBorder="1" applyAlignment="1">
      <alignment horizontal="center" vertical="center" wrapText="1"/>
    </xf>
    <xf numFmtId="0" fontId="0" fillId="34" borderId="31" xfId="0" applyFill="1" applyBorder="1" applyAlignment="1">
      <alignment horizontal="left" vertical="center" wrapText="1"/>
    </xf>
    <xf numFmtId="0" fontId="0" fillId="34" borderId="23" xfId="0" applyFill="1" applyBorder="1" applyAlignment="1">
      <alignment horizontal="center" vertical="center" wrapText="1"/>
    </xf>
    <xf numFmtId="0" fontId="0" fillId="34" borderId="16" xfId="0" quotePrefix="1" applyFill="1" applyBorder="1" applyAlignment="1">
      <alignment horizontal="center" vertical="center" wrapText="1"/>
    </xf>
    <xf numFmtId="0" fontId="0" fillId="35" borderId="7" xfId="0" applyFill="1" applyBorder="1" applyAlignment="1">
      <alignment horizontal="center" vertical="center" wrapText="1"/>
    </xf>
    <xf numFmtId="0" fontId="32" fillId="53" borderId="7" xfId="0" applyFont="1" applyFill="1" applyBorder="1" applyAlignment="1">
      <alignment horizontal="center" vertical="center" wrapText="1"/>
    </xf>
    <xf numFmtId="0" fontId="0" fillId="34" borderId="16" xfId="0" applyFill="1" applyBorder="1" applyAlignment="1">
      <alignment horizontal="left" vertical="center" wrapText="1"/>
    </xf>
    <xf numFmtId="0" fontId="0" fillId="34" borderId="15" xfId="0" applyFill="1" applyBorder="1" applyAlignment="1">
      <alignment horizontal="left" vertical="center" wrapText="1"/>
    </xf>
    <xf numFmtId="0" fontId="32" fillId="24" borderId="0" xfId="0" applyFont="1" applyFill="1" applyAlignment="1">
      <alignment vertical="center" wrapText="1"/>
    </xf>
    <xf numFmtId="0" fontId="32" fillId="31" borderId="16" xfId="0" applyFont="1" applyFill="1" applyBorder="1" applyAlignment="1">
      <alignment horizontal="center" vertical="center" wrapText="1"/>
    </xf>
    <xf numFmtId="0" fontId="32" fillId="31" borderId="15" xfId="0" applyFont="1" applyFill="1" applyBorder="1" applyAlignment="1">
      <alignment horizontal="center" vertical="center" wrapText="1"/>
    </xf>
    <xf numFmtId="0" fontId="23" fillId="51"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5" borderId="16" xfId="0" applyFont="1" applyFill="1" applyBorder="1" applyAlignment="1">
      <alignment horizontal="center" vertical="center" wrapText="1"/>
    </xf>
    <xf numFmtId="0" fontId="23" fillId="35"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4"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4" borderId="2" xfId="0" applyFill="1" applyBorder="1" applyAlignment="1">
      <alignment horizontal="center" vertical="center" wrapText="1"/>
    </xf>
    <xf numFmtId="0" fontId="0" fillId="34"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1" borderId="2" xfId="0" applyFont="1" applyFill="1" applyBorder="1" applyAlignment="1">
      <alignment horizontal="center" vertical="center" wrapText="1"/>
    </xf>
    <xf numFmtId="0" fontId="23" fillId="51" borderId="2" xfId="0" applyFont="1" applyFill="1" applyBorder="1" applyAlignment="1">
      <alignment horizontal="center" vertical="center" wrapText="1"/>
    </xf>
    <xf numFmtId="0" fontId="12" fillId="31"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1"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5" borderId="2" xfId="0" applyFont="1" applyFill="1" applyBorder="1" applyAlignment="1">
      <alignment horizontal="center" vertical="center" wrapText="1"/>
    </xf>
    <xf numFmtId="0" fontId="23" fillId="35" borderId="2" xfId="0" applyFont="1" applyFill="1" applyBorder="1" applyAlignment="1" applyProtection="1">
      <alignment horizontal="center" vertical="center" wrapText="1"/>
      <protection locked="0"/>
    </xf>
    <xf numFmtId="0" fontId="0" fillId="35" borderId="2" xfId="0" applyFill="1" applyBorder="1" applyAlignment="1">
      <alignment horizontal="center" vertical="center" wrapText="1"/>
    </xf>
    <xf numFmtId="0" fontId="0" fillId="35"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3"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4" borderId="22" xfId="0" applyFont="1" applyFill="1" applyBorder="1" applyAlignment="1">
      <alignment horizontal="left" vertical="center" wrapText="1"/>
    </xf>
    <xf numFmtId="0" fontId="12" fillId="31"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1" borderId="31" xfId="0" applyFont="1" applyFill="1" applyBorder="1" applyAlignment="1">
      <alignment horizontal="left" vertical="center" wrapText="1"/>
    </xf>
    <xf numFmtId="0" fontId="32" fillId="51" borderId="22" xfId="0" applyFont="1" applyFill="1" applyBorder="1" applyAlignment="1">
      <alignment horizontal="left" vertical="center" wrapText="1"/>
    </xf>
    <xf numFmtId="0" fontId="12" fillId="51" borderId="22" xfId="0" applyFont="1" applyFill="1" applyBorder="1" applyAlignment="1">
      <alignment horizontal="left" vertical="center" wrapText="1"/>
    </xf>
    <xf numFmtId="0" fontId="12" fillId="31"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39"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5"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5"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3"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0" borderId="31" xfId="0" applyFont="1" applyFill="1" applyBorder="1" applyAlignment="1">
      <alignment vertical="center" wrapText="1"/>
    </xf>
    <xf numFmtId="0" fontId="32" fillId="49" borderId="31" xfId="0" applyFont="1" applyFill="1" applyBorder="1" applyAlignment="1">
      <alignment vertical="center" wrapText="1"/>
    </xf>
    <xf numFmtId="0" fontId="32" fillId="50" borderId="9" xfId="0" applyFont="1" applyFill="1" applyBorder="1" applyAlignment="1">
      <alignment vertical="center" wrapText="1"/>
    </xf>
    <xf numFmtId="0" fontId="32" fillId="49"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6"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15" borderId="0" xfId="0" applyFill="1" applyAlignment="1">
      <alignment vertical="center"/>
    </xf>
    <xf numFmtId="0" fontId="39" fillId="0" borderId="0" xfId="0" applyFont="1"/>
    <xf numFmtId="0" fontId="0" fillId="9" borderId="0" xfId="0" applyFill="1" applyAlignment="1">
      <alignment vertical="center" wrapText="1"/>
    </xf>
    <xf numFmtId="0" fontId="30" fillId="0" borderId="0" xfId="0" applyFont="1" applyAlignment="1">
      <alignment horizontal="center"/>
    </xf>
    <xf numFmtId="0" fontId="0" fillId="0" borderId="0" xfId="0" applyAlignment="1">
      <alignment horizontal="left"/>
    </xf>
    <xf numFmtId="0" fontId="0" fillId="0" borderId="56" xfId="0" applyBorder="1"/>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6"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1"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0"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1" borderId="0" xfId="0" applyFill="1" applyAlignment="1">
      <alignment horizontal="center" vertical="center" wrapText="1"/>
    </xf>
    <xf numFmtId="0" fontId="0" fillId="31" borderId="0" xfId="0" applyFill="1" applyAlignment="1">
      <alignment horizontal="left" vertical="center" wrapText="1"/>
    </xf>
    <xf numFmtId="0" fontId="27" fillId="31"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7" borderId="22" xfId="0" applyFont="1" applyFill="1" applyBorder="1" applyAlignment="1">
      <alignment horizontal="center" vertical="center"/>
    </xf>
    <xf numFmtId="0" fontId="30" fillId="37"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5" borderId="9" xfId="0" applyFont="1" applyFill="1" applyBorder="1" applyAlignment="1">
      <alignment horizontal="center" vertical="center" wrapText="1"/>
    </xf>
    <xf numFmtId="0" fontId="12" fillId="35"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8"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5" borderId="0" xfId="0" applyFill="1" applyAlignment="1">
      <alignment vertical="center"/>
    </xf>
    <xf numFmtId="0" fontId="12" fillId="35"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5"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39"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1" borderId="70" xfId="0" applyFill="1" applyBorder="1" applyAlignment="1">
      <alignment horizontal="center" vertical="center" wrapText="1"/>
    </xf>
    <xf numFmtId="0" fontId="32" fillId="31" borderId="7" xfId="0" applyFont="1" applyFill="1" applyBorder="1" applyAlignment="1">
      <alignment horizontal="center" vertical="center" wrapText="1"/>
    </xf>
    <xf numFmtId="0" fontId="50" fillId="43" borderId="0" xfId="0" applyFont="1" applyFill="1" applyAlignment="1">
      <alignment horizontal="center" vertical="center" wrapText="1"/>
    </xf>
    <xf numFmtId="0" fontId="50" fillId="41"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5"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4" fontId="22" fillId="0" borderId="0" xfId="1" applyNumberFormat="1" applyFont="1" applyAlignment="1">
      <alignment horizontal="center" vertical="center"/>
    </xf>
    <xf numFmtId="164" fontId="22" fillId="0" borderId="0" xfId="1" applyNumberFormat="1" applyFont="1" applyAlignment="1">
      <alignment horizontal="center"/>
    </xf>
    <xf numFmtId="164"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3" borderId="10" xfId="0" applyFont="1" applyFill="1" applyBorder="1" applyAlignment="1">
      <alignment horizontal="left" vertical="center" wrapText="1"/>
    </xf>
    <xf numFmtId="167" fontId="22" fillId="0" borderId="0" xfId="1" applyNumberFormat="1" applyFont="1" applyAlignment="1">
      <alignment horizontal="center"/>
    </xf>
    <xf numFmtId="167" fontId="22" fillId="0" borderId="0" xfId="1" applyNumberFormat="1" applyFont="1" applyBorder="1" applyAlignment="1">
      <alignment horizontal="center" vertical="center"/>
    </xf>
    <xf numFmtId="167" fontId="22" fillId="0" borderId="0" xfId="1" applyNumberFormat="1" applyFont="1" applyAlignment="1">
      <alignment horizontal="center" vertical="center"/>
    </xf>
    <xf numFmtId="167" fontId="22" fillId="0" borderId="0" xfId="1" applyNumberFormat="1" applyFont="1" applyAlignment="1">
      <alignment vertical="center"/>
    </xf>
    <xf numFmtId="1" fontId="3" fillId="0" borderId="0" xfId="0" applyNumberFormat="1" applyFont="1" applyAlignment="1">
      <alignment horizontal="center" vertical="center"/>
    </xf>
    <xf numFmtId="1" fontId="0" fillId="35" borderId="0" xfId="0" applyNumberFormat="1" applyFill="1" applyAlignment="1">
      <alignment horizontal="center" vertical="center" wrapText="1"/>
    </xf>
    <xf numFmtId="0" fontId="0" fillId="35"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2"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6" borderId="0" xfId="0" applyFill="1"/>
    <xf numFmtId="0" fontId="0" fillId="57" borderId="0" xfId="0" applyFill="1"/>
    <xf numFmtId="0" fontId="0" fillId="58"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59" borderId="17" xfId="0" applyNumberFormat="1" applyFont="1" applyFill="1" applyBorder="1" applyAlignment="1" applyProtection="1">
      <alignment horizontal="center" vertical="center"/>
      <protection locked="0"/>
    </xf>
    <xf numFmtId="1" fontId="3" fillId="59"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6"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12" fillId="31" borderId="7" xfId="0" quotePrefix="1" applyFont="1" applyFill="1" applyBorder="1" applyAlignment="1">
      <alignment horizontal="left" vertical="center" wrapText="1"/>
    </xf>
    <xf numFmtId="0" fontId="0" fillId="31" borderId="0" xfId="0" quotePrefix="1" applyFill="1" applyAlignment="1">
      <alignment vertical="top" wrapText="1"/>
    </xf>
    <xf numFmtId="0" fontId="0" fillId="34" borderId="60" xfId="0" quotePrefix="1" applyFill="1" applyBorder="1" applyAlignment="1">
      <alignment horizontal="left" vertical="center" wrapText="1"/>
    </xf>
    <xf numFmtId="0" fontId="0" fillId="34"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4" borderId="31" xfId="0" quotePrefix="1" applyFill="1" applyBorder="1" applyAlignment="1">
      <alignment horizontal="left" vertical="center" wrapText="1"/>
    </xf>
    <xf numFmtId="0" fontId="0" fillId="7" borderId="0" xfId="0" applyFill="1" applyAlignment="1">
      <alignment vertical="top" wrapText="1"/>
    </xf>
    <xf numFmtId="0" fontId="0" fillId="31"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9" fontId="0" fillId="0" borderId="0" xfId="2" applyFont="1" applyAlignment="1">
      <alignment vertical="center"/>
    </xf>
    <xf numFmtId="0" fontId="6" fillId="0" borderId="0" xfId="0" applyFont="1" applyAlignment="1">
      <alignment horizontal="center" vertical="center"/>
    </xf>
    <xf numFmtId="0" fontId="0" fillId="34" borderId="0" xfId="0" applyFill="1" applyAlignment="1">
      <alignment horizontal="center" vertical="center" wrapText="1"/>
    </xf>
    <xf numFmtId="0" fontId="0" fillId="51" borderId="0" xfId="0" applyFill="1" applyAlignment="1">
      <alignment horizontal="center" vertical="center" wrapText="1"/>
    </xf>
    <xf numFmtId="0" fontId="0" fillId="7" borderId="0" xfId="0" applyFill="1" applyAlignment="1">
      <alignment horizontal="center" vertical="center" wrapText="1"/>
    </xf>
    <xf numFmtId="0" fontId="32" fillId="39" borderId="0" xfId="0" applyFont="1" applyFill="1" applyAlignment="1">
      <alignment horizontal="center" vertical="center" wrapText="1"/>
    </xf>
    <xf numFmtId="0" fontId="32" fillId="50" borderId="0" xfId="0" applyFont="1" applyFill="1" applyAlignment="1">
      <alignment horizontal="center" vertical="center" wrapText="1"/>
    </xf>
    <xf numFmtId="0" fontId="32" fillId="25" borderId="0" xfId="0" applyFont="1" applyFill="1" applyAlignment="1">
      <alignment horizontal="center" vertical="center" wrapText="1"/>
    </xf>
    <xf numFmtId="0" fontId="32" fillId="53"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0"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5" borderId="0" xfId="0" applyFont="1" applyFill="1" applyAlignment="1">
      <alignment horizontal="left" vertical="center"/>
    </xf>
    <xf numFmtId="0" fontId="15" fillId="33" borderId="0" xfId="0" applyFont="1" applyFill="1" applyAlignment="1">
      <alignment horizontal="left" vertical="center"/>
    </xf>
    <xf numFmtId="0" fontId="39" fillId="60"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1" borderId="0" xfId="0" applyFont="1" applyFill="1" applyAlignment="1">
      <alignment horizontal="left" vertical="center" wrapText="1"/>
    </xf>
    <xf numFmtId="0" fontId="23" fillId="31"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5"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1" borderId="0" xfId="0" applyFont="1" applyFill="1" applyAlignment="1">
      <alignment horizontal="left" vertical="center" wrapText="1"/>
    </xf>
    <xf numFmtId="0" fontId="27" fillId="34"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1"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0"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4" borderId="16" xfId="0" applyFont="1" applyFill="1" applyBorder="1" applyAlignment="1">
      <alignment horizontal="center" vertical="center" wrapText="1"/>
    </xf>
    <xf numFmtId="0" fontId="27" fillId="34"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1" borderId="0" xfId="0" applyFont="1" applyFill="1" applyAlignment="1">
      <alignment horizontal="center" vertical="center" wrapText="1"/>
    </xf>
    <xf numFmtId="0" fontId="27" fillId="20" borderId="0" xfId="0" applyFont="1" applyFill="1" applyAlignment="1">
      <alignment horizontal="center" vertical="center" wrapText="1"/>
    </xf>
    <xf numFmtId="0" fontId="29" fillId="35" borderId="74" xfId="0" applyFont="1" applyFill="1" applyBorder="1" applyAlignment="1">
      <alignment horizontal="center" vertical="center" wrapText="1"/>
    </xf>
    <xf numFmtId="0" fontId="27" fillId="35"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4" borderId="0" xfId="0" applyFont="1" applyFill="1" applyAlignment="1">
      <alignment horizontal="center" vertical="center" wrapText="1"/>
    </xf>
    <xf numFmtId="0" fontId="0" fillId="34" borderId="0" xfId="0" applyFill="1" applyAlignment="1">
      <alignment horizontal="left" vertical="center" wrapText="1"/>
    </xf>
    <xf numFmtId="0" fontId="0" fillId="34"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0" fillId="27" borderId="0" xfId="0" applyFill="1" applyAlignment="1">
      <alignment horizont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4" borderId="0" xfId="0" applyFill="1" applyAlignment="1">
      <alignment vertical="center"/>
    </xf>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1" borderId="25" xfId="0" applyFill="1" applyBorder="1" applyAlignment="1">
      <alignment horizontal="left" vertical="center" wrapText="1"/>
    </xf>
    <xf numFmtId="0" fontId="0" fillId="51" borderId="28" xfId="0" applyFill="1" applyBorder="1" applyAlignment="1">
      <alignment horizontal="center" vertical="center"/>
    </xf>
    <xf numFmtId="0" fontId="12" fillId="51" borderId="31" xfId="0" applyFont="1" applyFill="1" applyBorder="1" applyAlignment="1">
      <alignment horizontal="left" vertical="center" wrapText="1"/>
    </xf>
    <xf numFmtId="0" fontId="0" fillId="51" borderId="15" xfId="0"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24" fillId="0" borderId="0" xfId="0" applyFont="1"/>
    <xf numFmtId="0" fontId="88" fillId="0" borderId="0" xfId="0" applyFont="1" applyAlignment="1">
      <alignment horizontal="center" vertical="center"/>
    </xf>
    <xf numFmtId="0" fontId="27" fillId="3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5" borderId="78" xfId="0" applyFill="1" applyBorder="1" applyAlignment="1">
      <alignment horizontal="center" vertical="center" wrapText="1"/>
    </xf>
    <xf numFmtId="0" fontId="0" fillId="35"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5"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5"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39" borderId="78" xfId="0" applyFont="1" applyFill="1" applyBorder="1" applyAlignment="1">
      <alignment horizontal="center" vertical="center" wrapText="1"/>
    </xf>
    <xf numFmtId="0" fontId="0" fillId="31"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50" fillId="41"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38" borderId="54" xfId="0" applyFont="1" applyFill="1" applyBorder="1" applyAlignment="1">
      <alignment horizontal="left" vertical="center" wrapText="1"/>
    </xf>
    <xf numFmtId="0" fontId="50" fillId="42"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1"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1" borderId="1" xfId="0" applyFont="1" applyFill="1" applyBorder="1" applyAlignment="1">
      <alignment horizontal="left" vertical="center" wrapText="1"/>
    </xf>
    <xf numFmtId="0" fontId="0" fillId="0" borderId="78" xfId="0" applyBorder="1" applyAlignment="1">
      <alignment vertical="center" wrapText="1"/>
    </xf>
    <xf numFmtId="0" fontId="27" fillId="38"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8" borderId="78" xfId="0" applyFont="1" applyFill="1" applyBorder="1" applyAlignment="1">
      <alignment horizontal="left" vertical="center" wrapText="1"/>
    </xf>
    <xf numFmtId="0" fontId="27" fillId="6" borderId="54" xfId="0" applyFont="1" applyFill="1" applyBorder="1" applyAlignment="1">
      <alignment horizontal="left" vertical="center" wrapText="1"/>
    </xf>
    <xf numFmtId="0" fontId="50" fillId="40" borderId="16" xfId="0" applyFont="1" applyFill="1" applyBorder="1" applyAlignment="1">
      <alignment horizontal="left" vertical="center" wrapText="1"/>
    </xf>
    <xf numFmtId="0" fontId="50" fillId="41" borderId="15" xfId="0" applyFont="1" applyFill="1" applyBorder="1" applyAlignment="1">
      <alignment horizontal="left" vertical="center"/>
    </xf>
    <xf numFmtId="0" fontId="50" fillId="42"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39" borderId="15" xfId="0" applyFont="1" applyFill="1" applyBorder="1" applyAlignment="1">
      <alignment horizontal="left" vertical="center"/>
    </xf>
    <xf numFmtId="0" fontId="27" fillId="31" borderId="28" xfId="0" applyFont="1" applyFill="1" applyBorder="1" applyAlignment="1">
      <alignment horizontal="left" vertical="center"/>
    </xf>
    <xf numFmtId="0" fontId="65" fillId="44" borderId="15" xfId="0" applyFont="1" applyFill="1" applyBorder="1" applyAlignment="1">
      <alignment horizontal="left" vertical="center"/>
    </xf>
    <xf numFmtId="0" fontId="50" fillId="44"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4"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1"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40"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2" borderId="59" xfId="0" applyFont="1" applyFill="1" applyBorder="1" applyAlignment="1">
      <alignment horizontal="left" vertical="center" wrapText="1"/>
    </xf>
    <xf numFmtId="0" fontId="27" fillId="31" borderId="54" xfId="0" applyFont="1" applyFill="1" applyBorder="1" applyAlignment="1">
      <alignment horizontal="left" vertical="center" wrapText="1"/>
    </xf>
    <xf numFmtId="0" fontId="50" fillId="39"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1" borderId="55" xfId="0" applyFont="1" applyFill="1" applyBorder="1" applyAlignment="1">
      <alignment horizontal="left" vertical="center" wrapText="1"/>
    </xf>
    <xf numFmtId="0" fontId="12" fillId="5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1" borderId="54" xfId="0" applyFill="1" applyBorder="1" applyAlignment="1">
      <alignment horizontal="center" vertical="center" wrapText="1"/>
    </xf>
    <xf numFmtId="0" fontId="27" fillId="31"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0" fillId="51"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3" borderId="1" xfId="0" applyFont="1" applyFill="1" applyBorder="1" applyAlignment="1">
      <alignment horizontal="center" vertical="center" wrapText="1"/>
    </xf>
    <xf numFmtId="0" fontId="0" fillId="18" borderId="0" xfId="0" applyFill="1" applyAlignment="1">
      <alignment vertical="center"/>
    </xf>
    <xf numFmtId="0" fontId="0" fillId="35"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8"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7" borderId="28" xfId="0" applyFont="1" applyFill="1" applyBorder="1" applyAlignment="1">
      <alignment horizontal="left" vertical="center"/>
    </xf>
    <xf numFmtId="0" fontId="32" fillId="50" borderId="0" xfId="0" applyFont="1" applyFill="1" applyAlignment="1">
      <alignment vertical="center" wrapText="1"/>
    </xf>
    <xf numFmtId="0" fontId="0" fillId="7" borderId="0" xfId="0" applyFill="1" applyAlignment="1">
      <alignment vertical="center" wrapText="1"/>
    </xf>
    <xf numFmtId="0" fontId="32" fillId="49" borderId="0" xfId="0" applyFont="1" applyFill="1" applyAlignment="1">
      <alignment vertical="center" wrapText="1"/>
    </xf>
    <xf numFmtId="0" fontId="0" fillId="6" borderId="0" xfId="0" applyFill="1" applyAlignment="1">
      <alignment vertical="center" wrapText="1"/>
    </xf>
    <xf numFmtId="0" fontId="32" fillId="25" borderId="0" xfId="0" applyFont="1" applyFill="1" applyAlignment="1">
      <alignment horizontal="left" vertical="center" wrapText="1"/>
    </xf>
    <xf numFmtId="0" fontId="0" fillId="35"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5"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3" borderId="64" xfId="0" applyFill="1" applyBorder="1" applyAlignment="1">
      <alignment vertical="center" wrapText="1"/>
    </xf>
    <xf numFmtId="0" fontId="0" fillId="63" borderId="78" xfId="0" applyFill="1" applyBorder="1" applyAlignment="1">
      <alignment vertical="center" wrapText="1"/>
    </xf>
    <xf numFmtId="1" fontId="0" fillId="63" borderId="78" xfId="0" applyNumberFormat="1" applyFill="1" applyBorder="1" applyAlignment="1">
      <alignment horizontal="center" vertical="center"/>
    </xf>
    <xf numFmtId="0" fontId="0" fillId="63" borderId="78" xfId="0" applyFill="1" applyBorder="1" applyAlignment="1">
      <alignment horizontal="center" vertical="center"/>
    </xf>
    <xf numFmtId="0" fontId="0" fillId="63"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1"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27" fillId="0" borderId="15" xfId="0" applyFont="1" applyBorder="1" applyAlignment="1">
      <alignment horizontal="righ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27" fillId="0" borderId="16" xfId="0" applyFont="1" applyBorder="1" applyAlignment="1">
      <alignment horizontal="righ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0" borderId="0" xfId="0" applyFont="1" applyAlignment="1">
      <alignment vertical="center"/>
    </xf>
    <xf numFmtId="0" fontId="6" fillId="17" borderId="0" xfId="0" applyFont="1" applyFill="1" applyAlignment="1">
      <alignment horizontal="center" vertical="center"/>
    </xf>
    <xf numFmtId="0" fontId="0" fillId="0" borderId="64" xfId="0" applyBorder="1" applyAlignment="1">
      <alignment horizontal="left" vertical="center" wrapText="1"/>
    </xf>
    <xf numFmtId="0" fontId="3" fillId="0" borderId="0" xfId="0" applyFont="1" applyAlignment="1">
      <alignment vertical="center" wrapText="1"/>
    </xf>
    <xf numFmtId="0" fontId="12" fillId="52"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7"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7" fillId="0" borderId="0" xfId="0" applyFont="1" applyAlignment="1">
      <alignment horizontal="left"/>
    </xf>
    <xf numFmtId="0" fontId="97" fillId="0" borderId="0" xfId="0" applyFont="1" applyAlignment="1">
      <alignment vertical="top"/>
    </xf>
    <xf numFmtId="0" fontId="98" fillId="0" borderId="0" xfId="0" applyFo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2"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39" borderId="43" xfId="0" applyFont="1" applyFill="1" applyBorder="1" applyAlignment="1">
      <alignment horizontal="center" vertical="center" wrapText="1"/>
    </xf>
    <xf numFmtId="0" fontId="0" fillId="51" borderId="27" xfId="0" applyFill="1" applyBorder="1" applyAlignment="1">
      <alignment horizontal="center" vertical="center" wrapText="1"/>
    </xf>
    <xf numFmtId="0" fontId="12" fillId="52" borderId="27" xfId="0" applyFont="1" applyFill="1" applyBorder="1" applyAlignment="1">
      <alignment horizontal="center" vertical="center" wrapText="1"/>
    </xf>
    <xf numFmtId="0" fontId="32" fillId="50" borderId="27" xfId="0" applyFont="1" applyFill="1" applyBorder="1" applyAlignment="1">
      <alignment horizontal="center" vertical="center" wrapText="1"/>
    </xf>
    <xf numFmtId="0" fontId="32" fillId="39" borderId="27" xfId="0" applyFont="1" applyFill="1" applyBorder="1" applyAlignment="1">
      <alignment horizontal="center" vertical="center" wrapText="1"/>
    </xf>
    <xf numFmtId="0" fontId="0" fillId="51"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1"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5"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99"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0" fontId="10" fillId="0" borderId="0" xfId="0" applyFont="1" applyAlignment="1">
      <alignment horizontal="center" vertical="center"/>
    </xf>
    <xf numFmtId="0" fontId="28" fillId="0" borderId="0" xfId="0" applyFont="1" applyAlignment="1">
      <alignment horizontal="center" vertical="center" wrapText="1"/>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3" borderId="19" xfId="0" applyFill="1" applyBorder="1" applyAlignment="1">
      <alignment horizontal="center" vertical="center"/>
    </xf>
    <xf numFmtId="0" fontId="0" fillId="63"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10" fillId="0" borderId="0" xfId="0" applyFont="1" applyAlignment="1">
      <alignment wrapText="1"/>
    </xf>
    <xf numFmtId="0" fontId="0" fillId="0" borderId="0" xfId="0" applyAlignment="1">
      <alignment vertical="top" wrapText="1"/>
    </xf>
    <xf numFmtId="0" fontId="2" fillId="8" borderId="0" xfId="0" applyFont="1" applyFill="1" applyAlignment="1">
      <alignment horizontal="left" vertical="center" wrapText="1"/>
    </xf>
    <xf numFmtId="0" fontId="0" fillId="10" borderId="0" xfId="0" applyFill="1" applyAlignment="1">
      <alignment vertical="center" wrapText="1"/>
    </xf>
    <xf numFmtId="0" fontId="27" fillId="31" borderId="0" xfId="0" applyFont="1" applyFill="1" applyAlignment="1">
      <alignment horizontal="center" vertical="center" wrapText="1"/>
    </xf>
    <xf numFmtId="0" fontId="30" fillId="0" borderId="0" xfId="0" applyFont="1" applyAlignment="1">
      <alignment horizontal="center" vertical="center"/>
    </xf>
    <xf numFmtId="0" fontId="0" fillId="0" borderId="0" xfId="0" applyAlignment="1">
      <alignment horizontal="center" vertical="top" wrapText="1"/>
    </xf>
    <xf numFmtId="0" fontId="3" fillId="34"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100" fillId="7" borderId="0" xfId="0" applyFont="1" applyFill="1" applyAlignment="1">
      <alignment horizontal="left" vertical="center" wrapText="1"/>
    </xf>
    <xf numFmtId="0" fontId="100" fillId="50" borderId="0" xfId="0" applyFont="1" applyFill="1" applyAlignment="1">
      <alignment horizontal="center" vertical="center" wrapText="1"/>
    </xf>
    <xf numFmtId="0" fontId="12" fillId="31" borderId="74" xfId="0" applyFont="1" applyFill="1" applyBorder="1" applyAlignment="1">
      <alignment horizontal="left" vertical="center" wrapText="1"/>
    </xf>
    <xf numFmtId="0" fontId="12" fillId="31"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1" borderId="0" xfId="0" applyFill="1" applyAlignment="1">
      <alignment horizontal="left" vertical="top" wrapText="1"/>
    </xf>
    <xf numFmtId="0" fontId="12" fillId="52" borderId="0" xfId="0" applyFont="1" applyFill="1" applyAlignment="1">
      <alignment horizontal="left" vertical="center" wrapText="1"/>
    </xf>
    <xf numFmtId="0" fontId="32" fillId="50" borderId="0" xfId="0" applyFont="1" applyFill="1" applyAlignment="1">
      <alignment horizontal="left" vertical="center" wrapText="1"/>
    </xf>
    <xf numFmtId="0" fontId="32" fillId="39" borderId="0" xfId="0" applyFont="1" applyFill="1" applyAlignment="1">
      <alignment horizontal="left" vertical="center" wrapText="1"/>
    </xf>
    <xf numFmtId="0" fontId="0" fillId="51" borderId="0" xfId="0" applyFill="1" applyAlignment="1">
      <alignment horizontal="left" vertical="center" wrapText="1"/>
    </xf>
    <xf numFmtId="164" fontId="22" fillId="0" borderId="0" xfId="1" applyNumberFormat="1" applyFont="1" applyFill="1" applyAlignment="1">
      <alignment horizontal="center" vertical="center"/>
    </xf>
    <xf numFmtId="164"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0" borderId="31" xfId="0" applyFill="1" applyBorder="1" applyAlignment="1">
      <alignment vertical="center" wrapText="1"/>
    </xf>
    <xf numFmtId="0" fontId="12" fillId="50"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0" borderId="0" xfId="0" applyFont="1" applyFill="1" applyAlignment="1">
      <alignment vertical="center" wrapText="1"/>
    </xf>
    <xf numFmtId="0" fontId="32" fillId="53" borderId="0" xfId="0" applyFont="1" applyFill="1" applyAlignment="1">
      <alignment vertical="center" wrapText="1"/>
    </xf>
    <xf numFmtId="0" fontId="19" fillId="35" borderId="0" xfId="0" applyFont="1" applyFill="1" applyAlignment="1">
      <alignment vertical="center" wrapText="1"/>
    </xf>
    <xf numFmtId="164" fontId="22" fillId="0" borderId="0" xfId="1" applyNumberFormat="1" applyFont="1" applyFill="1" applyAlignment="1">
      <alignment horizontal="center"/>
    </xf>
    <xf numFmtId="0" fontId="0" fillId="35" borderId="21" xfId="0" applyFill="1" applyBorder="1" applyAlignment="1">
      <alignment horizontal="center" vertical="center" wrapText="1"/>
    </xf>
    <xf numFmtId="0" fontId="19" fillId="35" borderId="21" xfId="0" applyFont="1" applyFill="1" applyBorder="1" applyAlignment="1">
      <alignment vertical="center" wrapText="1"/>
    </xf>
    <xf numFmtId="0" fontId="0" fillId="35" borderId="21" xfId="0" applyFill="1" applyBorder="1" applyAlignment="1">
      <alignment vertical="center" wrapText="1"/>
    </xf>
    <xf numFmtId="0" fontId="71" fillId="35" borderId="21" xfId="0" applyFont="1" applyFill="1" applyBorder="1" applyAlignment="1">
      <alignment horizontal="left" vertical="center" wrapText="1"/>
    </xf>
    <xf numFmtId="0" fontId="72" fillId="35" borderId="21" xfId="0" applyFont="1" applyFill="1" applyBorder="1" applyAlignment="1">
      <alignment horizontal="center" vertical="center" wrapText="1"/>
    </xf>
    <xf numFmtId="0" fontId="72" fillId="35" borderId="21" xfId="0" applyFont="1" applyFill="1" applyBorder="1" applyAlignment="1">
      <alignment horizontal="center" vertical="center"/>
    </xf>
    <xf numFmtId="1" fontId="72" fillId="35" borderId="21" xfId="0" applyNumberFormat="1" applyFont="1" applyFill="1" applyBorder="1" applyAlignment="1">
      <alignment horizontal="center" vertical="center"/>
    </xf>
    <xf numFmtId="9" fontId="15" fillId="35" borderId="87" xfId="2" applyFont="1" applyFill="1" applyBorder="1" applyAlignment="1">
      <alignment horizontal="center" vertical="center" wrapText="1"/>
    </xf>
    <xf numFmtId="0" fontId="15" fillId="35" borderId="21" xfId="0" applyFont="1" applyFill="1" applyBorder="1" applyAlignment="1">
      <alignment horizontal="center" vertical="center" wrapText="1"/>
    </xf>
    <xf numFmtId="0" fontId="27" fillId="35"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4" borderId="15" xfId="0" quotePrefix="1" applyFill="1" applyBorder="1" applyAlignment="1">
      <alignment horizontal="left" vertical="center" wrapText="1"/>
    </xf>
    <xf numFmtId="0" fontId="0" fillId="34" borderId="16" xfId="0" quotePrefix="1" applyFill="1" applyBorder="1" applyAlignment="1">
      <alignment horizontal="left" vertical="center" wrapText="1"/>
    </xf>
    <xf numFmtId="0" fontId="27" fillId="34"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1" borderId="15" xfId="0" applyFont="1" applyFill="1" applyBorder="1" applyAlignment="1">
      <alignment horizontal="left" vertical="center" wrapText="1"/>
    </xf>
    <xf numFmtId="0" fontId="32" fillId="51" borderId="16" xfId="0" applyFont="1" applyFill="1" applyBorder="1" applyAlignment="1">
      <alignment horizontal="left" vertical="center" wrapText="1"/>
    </xf>
    <xf numFmtId="0" fontId="12" fillId="31"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1" borderId="28" xfId="0" applyFill="1" applyBorder="1" applyAlignment="1">
      <alignment horizontal="left" vertical="center" wrapText="1"/>
    </xf>
    <xf numFmtId="0" fontId="12" fillId="51" borderId="15" xfId="0" applyFont="1" applyFill="1" applyBorder="1" applyAlignment="1">
      <alignment horizontal="left" vertical="center" wrapText="1"/>
    </xf>
    <xf numFmtId="0" fontId="56" fillId="39"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1"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5" borderId="15" xfId="0" applyFont="1" applyFill="1" applyBorder="1" applyAlignment="1">
      <alignment horizontal="left" vertical="center" wrapText="1"/>
    </xf>
    <xf numFmtId="0" fontId="12" fillId="35"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5"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3" borderId="16" xfId="0" applyFont="1" applyFill="1" applyBorder="1" applyAlignment="1">
      <alignment vertical="center" wrapText="1"/>
    </xf>
    <xf numFmtId="0" fontId="0" fillId="50" borderId="15" xfId="0" applyFill="1" applyBorder="1" applyAlignment="1">
      <alignment vertical="center" wrapText="1"/>
    </xf>
    <xf numFmtId="0" fontId="48" fillId="7" borderId="16" xfId="0" applyFont="1" applyFill="1" applyBorder="1" applyAlignment="1">
      <alignment horizontal="left" vertical="center" wrapText="1"/>
    </xf>
    <xf numFmtId="0" fontId="12" fillId="35" borderId="0" xfId="0" applyFont="1" applyFill="1" applyAlignment="1">
      <alignment horizontal="left" vertical="center" wrapText="1"/>
    </xf>
    <xf numFmtId="0" fontId="12" fillId="35"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0" borderId="15" xfId="0" applyFont="1" applyFill="1" applyBorder="1" applyAlignment="1">
      <alignment vertical="center" wrapText="1"/>
    </xf>
    <xf numFmtId="0" fontId="32" fillId="49" borderId="15" xfId="0" applyFont="1" applyFill="1" applyBorder="1" applyAlignment="1">
      <alignment vertical="center" wrapText="1"/>
    </xf>
    <xf numFmtId="0" fontId="32" fillId="49" borderId="0" xfId="0" applyFont="1" applyFill="1" applyAlignment="1">
      <alignment horizontal="left" vertical="center" wrapText="1"/>
    </xf>
    <xf numFmtId="0" fontId="32" fillId="50" borderId="0" xfId="0" quotePrefix="1" applyFont="1" applyFill="1" applyAlignment="1">
      <alignment vertical="center" wrapText="1"/>
    </xf>
    <xf numFmtId="0" fontId="12" fillId="31"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4" borderId="74" xfId="0" quotePrefix="1" applyFill="1" applyBorder="1" applyAlignment="1">
      <alignment horizontal="left" vertical="center" wrapText="1"/>
    </xf>
    <xf numFmtId="0" fontId="0" fillId="34"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1" borderId="7" xfId="0" applyFont="1" applyFill="1" applyBorder="1" applyAlignment="1">
      <alignment horizontal="center" vertical="center" wrapText="1"/>
    </xf>
    <xf numFmtId="0" fontId="23" fillId="34" borderId="31" xfId="0" applyFont="1" applyFill="1" applyBorder="1" applyAlignment="1">
      <alignment horizontal="left" vertical="center" wrapText="1"/>
    </xf>
    <xf numFmtId="0" fontId="23" fillId="34" borderId="15" xfId="0" applyFont="1" applyFill="1" applyBorder="1" applyAlignment="1">
      <alignment horizontal="left" vertical="center" wrapText="1"/>
    </xf>
    <xf numFmtId="0" fontId="15" fillId="0" borderId="0" xfId="0" applyFont="1" applyAlignment="1">
      <alignment horizontal="left" vertical="center"/>
    </xf>
    <xf numFmtId="0" fontId="0" fillId="31" borderId="2" xfId="0" applyFill="1" applyBorder="1" applyAlignment="1">
      <alignment horizontal="center" vertical="center" wrapText="1"/>
    </xf>
    <xf numFmtId="0" fontId="0" fillId="31" borderId="21" xfId="0" applyFill="1" applyBorder="1" applyAlignment="1">
      <alignment horizontal="center" vertical="center" wrapText="1"/>
    </xf>
    <xf numFmtId="0" fontId="19" fillId="31" borderId="21" xfId="0" applyFont="1" applyFill="1" applyBorder="1" applyAlignment="1">
      <alignment vertical="center" wrapText="1"/>
    </xf>
    <xf numFmtId="0" fontId="0" fillId="31" borderId="21" xfId="0" applyFill="1" applyBorder="1" applyAlignment="1">
      <alignment vertical="center" wrapText="1"/>
    </xf>
    <xf numFmtId="0" fontId="71" fillId="31" borderId="21" xfId="0" applyFont="1" applyFill="1" applyBorder="1" applyAlignment="1">
      <alignment horizontal="left" vertical="center" wrapText="1"/>
    </xf>
    <xf numFmtId="0" fontId="72" fillId="31" borderId="21" xfId="0" applyFont="1" applyFill="1" applyBorder="1" applyAlignment="1">
      <alignment horizontal="center" vertical="center" wrapText="1"/>
    </xf>
    <xf numFmtId="0" fontId="72" fillId="31" borderId="21" xfId="0" applyFont="1" applyFill="1" applyBorder="1" applyAlignment="1">
      <alignment horizontal="center" vertical="center"/>
    </xf>
    <xf numFmtId="1" fontId="72" fillId="31" borderId="21" xfId="0" applyNumberFormat="1" applyFont="1" applyFill="1" applyBorder="1" applyAlignment="1">
      <alignment horizontal="center" vertical="center"/>
    </xf>
    <xf numFmtId="9" fontId="15" fillId="31" borderId="87" xfId="2" applyFont="1" applyFill="1" applyBorder="1" applyAlignment="1">
      <alignment horizontal="center" vertical="center" wrapText="1"/>
    </xf>
    <xf numFmtId="0" fontId="15" fillId="31" borderId="21" xfId="0" applyFont="1" applyFill="1" applyBorder="1" applyAlignment="1">
      <alignment horizontal="center" vertical="center" wrapText="1"/>
    </xf>
    <xf numFmtId="0" fontId="27" fillId="31" borderId="21" xfId="0" applyFont="1" applyFill="1" applyBorder="1" applyAlignment="1">
      <alignment horizontal="left" vertical="center"/>
    </xf>
    <xf numFmtId="0" fontId="19" fillId="31" borderId="0" xfId="0" applyFont="1" applyFill="1" applyAlignment="1">
      <alignment vertical="center" wrapText="1"/>
    </xf>
    <xf numFmtId="0" fontId="0" fillId="31" borderId="0" xfId="0" applyFill="1" applyAlignment="1">
      <alignment vertical="center" wrapText="1"/>
    </xf>
    <xf numFmtId="0" fontId="71" fillId="31" borderId="0" xfId="0" applyFont="1" applyFill="1" applyAlignment="1">
      <alignment horizontal="left" vertical="center" wrapText="1"/>
    </xf>
    <xf numFmtId="0" fontId="72" fillId="31" borderId="0" xfId="0" applyFont="1" applyFill="1" applyAlignment="1">
      <alignment horizontal="center" vertical="center" wrapText="1"/>
    </xf>
    <xf numFmtId="0" fontId="72" fillId="31" borderId="0" xfId="0" applyFont="1" applyFill="1" applyAlignment="1">
      <alignment horizontal="center" vertical="center"/>
    </xf>
    <xf numFmtId="1" fontId="72" fillId="31" borderId="0" xfId="0" applyNumberFormat="1" applyFont="1" applyFill="1" applyAlignment="1">
      <alignment horizontal="center" vertical="center"/>
    </xf>
    <xf numFmtId="9" fontId="15" fillId="31" borderId="0" xfId="2" applyFont="1" applyFill="1" applyBorder="1" applyAlignment="1">
      <alignment horizontal="center" vertical="center" wrapText="1"/>
    </xf>
    <xf numFmtId="0" fontId="15" fillId="31" borderId="0" xfId="0" applyFont="1" applyFill="1" applyAlignment="1">
      <alignment horizontal="center" vertical="center" wrapText="1"/>
    </xf>
    <xf numFmtId="0" fontId="30" fillId="37" borderId="28" xfId="0" applyFont="1" applyFill="1" applyBorder="1" applyAlignment="1">
      <alignment horizontal="center" vertical="center"/>
    </xf>
    <xf numFmtId="0" fontId="30" fillId="37"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1" borderId="0" xfId="0" applyFont="1" applyFill="1" applyAlignment="1">
      <alignment horizontal="center" vertical="center" textRotation="90"/>
    </xf>
    <xf numFmtId="0" fontId="29" fillId="31" borderId="0" xfId="0" applyFont="1" applyFill="1" applyAlignment="1">
      <alignment horizontal="center" vertical="top" textRotation="90"/>
    </xf>
    <xf numFmtId="0" fontId="29" fillId="35" borderId="0" xfId="0" applyFont="1" applyFill="1" applyAlignment="1">
      <alignment horizontal="center" vertical="top" textRotation="90"/>
    </xf>
    <xf numFmtId="0" fontId="6" fillId="35" borderId="0" xfId="0" applyFont="1" applyFill="1" applyAlignment="1">
      <alignment horizontal="center" vertical="center" textRotation="90"/>
    </xf>
    <xf numFmtId="0" fontId="29" fillId="35" borderId="0" xfId="0" applyFont="1" applyFill="1" applyAlignment="1">
      <alignment horizontal="center" vertical="center" textRotation="90"/>
    </xf>
    <xf numFmtId="0" fontId="6" fillId="35"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5"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0" borderId="24" xfId="0" applyFont="1" applyFill="1" applyBorder="1" applyAlignment="1">
      <alignment horizontal="left" vertical="center" textRotation="45" wrapText="1"/>
    </xf>
    <xf numFmtId="0" fontId="50" fillId="41" borderId="15" xfId="0" applyFont="1" applyFill="1" applyBorder="1" applyAlignment="1">
      <alignment horizontal="left" vertical="center" textRotation="45"/>
    </xf>
    <xf numFmtId="0" fontId="50" fillId="42"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39" borderId="15" xfId="0" applyFont="1" applyFill="1" applyBorder="1" applyAlignment="1">
      <alignment horizontal="left" vertical="center" textRotation="45"/>
    </xf>
    <xf numFmtId="0" fontId="50" fillId="45"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1"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1" borderId="0" xfId="0" applyFill="1" applyAlignment="1">
      <alignment vertical="top"/>
    </xf>
    <xf numFmtId="0" fontId="32" fillId="39"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5" borderId="0" xfId="0" applyFont="1" applyFill="1" applyAlignment="1">
      <alignment horizontal="left" vertical="center"/>
    </xf>
    <xf numFmtId="0" fontId="2" fillId="35" borderId="0" xfId="0" applyFont="1" applyFill="1" applyAlignment="1">
      <alignment horizontal="center" vertical="center" wrapText="1"/>
    </xf>
    <xf numFmtId="0" fontId="27" fillId="35"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6" borderId="0" xfId="0" applyFont="1" applyFill="1" applyAlignment="1">
      <alignment horizontal="center" vertical="center" wrapText="1"/>
    </xf>
    <xf numFmtId="0" fontId="32" fillId="49"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4"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1" borderId="0" xfId="0" applyFont="1" applyFill="1" applyAlignment="1">
      <alignment horizontal="left" vertical="center"/>
    </xf>
    <xf numFmtId="0" fontId="2" fillId="0" borderId="26" xfId="0" applyFont="1" applyBorder="1" applyAlignment="1">
      <alignment horizontal="center" vertical="center" wrapText="1"/>
    </xf>
    <xf numFmtId="0" fontId="0" fillId="34" borderId="27" xfId="0" applyFill="1" applyBorder="1" applyAlignment="1">
      <alignment horizontal="left" vertical="center" wrapText="1"/>
    </xf>
    <xf numFmtId="0" fontId="0" fillId="34" borderId="27" xfId="0" quotePrefix="1" applyFill="1" applyBorder="1" applyAlignment="1">
      <alignment horizontal="left" vertical="center" wrapText="1"/>
    </xf>
    <xf numFmtId="0" fontId="27" fillId="34"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1" borderId="29" xfId="0" applyFill="1" applyBorder="1" applyAlignment="1">
      <alignment horizontal="center" vertical="center" wrapText="1"/>
    </xf>
    <xf numFmtId="0" fontId="12" fillId="31"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39"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5" borderId="29" xfId="0" applyFill="1" applyBorder="1" applyAlignment="1">
      <alignment horizontal="center" vertical="center" wrapText="1"/>
    </xf>
    <xf numFmtId="0" fontId="0" fillId="35" borderId="16" xfId="0" applyFill="1" applyBorder="1" applyAlignment="1">
      <alignment horizontal="left" vertical="center" wrapText="1"/>
    </xf>
    <xf numFmtId="0" fontId="12" fillId="35"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3"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5" borderId="27" xfId="0" applyFont="1" applyFill="1" applyBorder="1" applyAlignment="1">
      <alignment horizontal="left" vertical="center" wrapText="1"/>
    </xf>
    <xf numFmtId="0" fontId="12" fillId="35"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49" borderId="27" xfId="0" quotePrefix="1" applyFont="1" applyFill="1" applyBorder="1" applyAlignment="1">
      <alignment horizontal="left" vertical="center" wrapText="1"/>
    </xf>
    <xf numFmtId="0" fontId="32" fillId="50" borderId="27" xfId="0" quotePrefix="1" applyFont="1" applyFill="1" applyBorder="1" applyAlignment="1">
      <alignment vertical="center" wrapText="1"/>
    </xf>
    <xf numFmtId="0" fontId="12" fillId="31" borderId="27" xfId="0" quotePrefix="1" applyFont="1" applyFill="1" applyBorder="1" applyAlignment="1">
      <alignment horizontal="left" vertical="center" wrapText="1"/>
    </xf>
    <xf numFmtId="0" fontId="0" fillId="31" borderId="27" xfId="0" quotePrefix="1" applyFill="1" applyBorder="1" applyAlignment="1">
      <alignment vertical="top" wrapText="1"/>
    </xf>
    <xf numFmtId="0" fontId="0" fillId="18" borderId="29" xfId="0" applyFill="1" applyBorder="1" applyAlignment="1">
      <alignment horizontal="center" vertical="center" wrapText="1"/>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04" fillId="0" borderId="0" xfId="0" applyFont="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4"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4"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49" fillId="40" borderId="55" xfId="0" applyFont="1" applyFill="1" applyBorder="1" applyAlignment="1">
      <alignment horizontal="left" vertical="center" wrapText="1"/>
    </xf>
    <xf numFmtId="0" fontId="49" fillId="40" borderId="0" xfId="0" applyFont="1" applyFill="1" applyAlignment="1">
      <alignment horizontal="left" vertical="center" wrapText="1"/>
    </xf>
    <xf numFmtId="0" fontId="49" fillId="0" borderId="56" xfId="0" applyFont="1" applyBorder="1" applyAlignment="1">
      <alignment horizontal="left" vertical="center" wrapText="1"/>
    </xf>
    <xf numFmtId="0" fontId="49" fillId="40"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5"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5"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39"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1"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1" borderId="1"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49" fillId="45" borderId="78" xfId="0" applyFont="1" applyFill="1" applyBorder="1" applyAlignment="1">
      <alignment horizontal="left" vertical="center" wrapText="1"/>
    </xf>
    <xf numFmtId="0" fontId="12" fillId="39" borderId="78" xfId="0" applyFont="1" applyFill="1" applyBorder="1" applyAlignment="1">
      <alignment horizontal="center" vertical="center" wrapText="1"/>
    </xf>
    <xf numFmtId="0" fontId="12" fillId="49" borderId="78" xfId="0" applyFont="1" applyFill="1" applyBorder="1" applyAlignment="1">
      <alignment horizontal="center" vertical="center" wrapText="1"/>
    </xf>
    <xf numFmtId="0" fontId="49" fillId="45" borderId="59" xfId="0" applyFont="1" applyFill="1" applyBorder="1" applyAlignment="1">
      <alignment horizontal="left" vertical="center" wrapText="1"/>
    </xf>
    <xf numFmtId="0" fontId="49" fillId="39" borderId="59" xfId="0" applyFont="1" applyFill="1" applyBorder="1" applyAlignment="1">
      <alignment horizontal="left" vertical="center" wrapText="1"/>
    </xf>
    <xf numFmtId="0" fontId="0" fillId="51"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6" borderId="0" xfId="0" applyFont="1" applyFill="1" applyAlignment="1">
      <alignment horizontal="left" vertical="center"/>
    </xf>
    <xf numFmtId="0" fontId="27" fillId="35" borderId="0" xfId="0" applyFont="1" applyFill="1" applyAlignment="1">
      <alignment horizontal="left" vertical="center"/>
    </xf>
    <xf numFmtId="0" fontId="27" fillId="33" borderId="0" xfId="0" applyFont="1" applyFill="1" applyAlignment="1">
      <alignment horizontal="left" vertical="center"/>
    </xf>
    <xf numFmtId="0" fontId="27" fillId="60"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1" borderId="29" xfId="0" applyFill="1" applyBorder="1" applyAlignment="1">
      <alignment horizontal="left" vertical="center" wrapText="1"/>
    </xf>
    <xf numFmtId="0" fontId="0" fillId="34" borderId="29" xfId="0" applyFill="1" applyBorder="1" applyAlignment="1">
      <alignment horizontal="left" vertical="center" wrapText="1"/>
    </xf>
    <xf numFmtId="0" fontId="0" fillId="7" borderId="29" xfId="0" applyFill="1" applyBorder="1" applyAlignment="1">
      <alignment horizontal="left" vertical="center" wrapText="1"/>
    </xf>
    <xf numFmtId="0" fontId="0" fillId="35"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5"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5" borderId="78" xfId="0" applyFill="1" applyBorder="1" applyAlignment="1">
      <alignment vertical="center" wrapText="1"/>
    </xf>
    <xf numFmtId="0" fontId="0" fillId="7" borderId="78" xfId="0" applyFill="1" applyBorder="1" applyAlignment="1">
      <alignment vertical="center" wrapText="1"/>
    </xf>
    <xf numFmtId="0" fontId="0" fillId="35"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3" borderId="1" xfId="0" applyFont="1" applyFill="1" applyBorder="1" applyAlignment="1">
      <alignment vertical="center" wrapText="1"/>
    </xf>
    <xf numFmtId="0" fontId="32" fillId="53"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1" borderId="54" xfId="0" applyFill="1" applyBorder="1" applyAlignment="1">
      <alignment vertical="center" wrapText="1"/>
    </xf>
    <xf numFmtId="0" fontId="93" fillId="0" borderId="1" xfId="0" applyFont="1" applyBorder="1" applyAlignment="1">
      <alignment vertical="center" wrapText="1"/>
    </xf>
    <xf numFmtId="0" fontId="0" fillId="31" borderId="78" xfId="0" applyFill="1" applyBorder="1" applyAlignment="1">
      <alignment vertical="center" wrapText="1"/>
    </xf>
    <xf numFmtId="0" fontId="3" fillId="0" borderId="0" xfId="0" applyFont="1" applyAlignment="1">
      <alignment horizontal="center"/>
    </xf>
    <xf numFmtId="0" fontId="0" fillId="0" borderId="10" xfId="0" applyBorder="1" applyAlignment="1">
      <alignment horizontal="center" vertical="center"/>
    </xf>
    <xf numFmtId="0" fontId="0" fillId="14" borderId="0" xfId="0" applyFill="1"/>
    <xf numFmtId="0" fontId="12" fillId="52" borderId="43" xfId="0" applyFont="1" applyFill="1" applyBorder="1" applyAlignment="1">
      <alignment horizontal="center" vertical="center" wrapText="1"/>
    </xf>
    <xf numFmtId="0" fontId="0" fillId="54"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66"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05" fillId="0" borderId="0" xfId="0" applyFont="1" applyAlignment="1">
      <alignment horizontal="center" vertical="center"/>
    </xf>
    <xf numFmtId="0" fontId="105" fillId="0" borderId="0" xfId="0" applyFont="1" applyAlignment="1">
      <alignment horizontal="center" vertical="center" textRotation="90"/>
    </xf>
    <xf numFmtId="0" fontId="19" fillId="67"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5" xfId="0" applyBorder="1" applyAlignment="1">
      <alignment horizontal="center"/>
    </xf>
    <xf numFmtId="0" fontId="55" fillId="24" borderId="9" xfId="0" applyFont="1" applyFill="1" applyBorder="1" applyAlignment="1">
      <alignment horizontal="center" vertical="center" wrapText="1"/>
    </xf>
    <xf numFmtId="167"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06" fillId="0" borderId="46" xfId="2" applyFont="1" applyFill="1" applyBorder="1" applyAlignment="1">
      <alignment horizontal="center" vertical="center"/>
    </xf>
    <xf numFmtId="9" fontId="106" fillId="0" borderId="47" xfId="2" applyFont="1" applyFill="1" applyBorder="1" applyAlignment="1">
      <alignment horizontal="center" vertical="center"/>
    </xf>
    <xf numFmtId="9" fontId="106" fillId="0" borderId="48" xfId="2" applyFont="1" applyFill="1" applyBorder="1" applyAlignment="1">
      <alignment horizontal="center" vertical="center" wrapText="1"/>
    </xf>
    <xf numFmtId="9" fontId="106" fillId="0" borderId="72" xfId="2" applyFont="1" applyFill="1" applyBorder="1" applyAlignment="1">
      <alignment horizontal="center" vertical="center"/>
    </xf>
    <xf numFmtId="9" fontId="106" fillId="0" borderId="42" xfId="2" applyFont="1" applyFill="1" applyBorder="1" applyAlignment="1">
      <alignment horizontal="center" vertical="center"/>
    </xf>
    <xf numFmtId="9" fontId="106" fillId="0" borderId="73" xfId="2" applyFont="1" applyFill="1" applyBorder="1" applyAlignment="1">
      <alignment horizontal="center" vertical="center" wrapText="1"/>
    </xf>
    <xf numFmtId="0" fontId="23" fillId="31" borderId="0" xfId="0" applyFont="1" applyFill="1" applyAlignment="1">
      <alignment horizontal="center" vertical="center" wrapText="1"/>
    </xf>
    <xf numFmtId="0" fontId="0" fillId="7" borderId="0" xfId="0" applyFill="1" applyAlignment="1">
      <alignment horizontal="center"/>
    </xf>
    <xf numFmtId="0" fontId="0" fillId="7" borderId="0" xfId="0" applyFill="1" applyAlignment="1">
      <alignment horizontal="center" vertical="center"/>
    </xf>
    <xf numFmtId="0" fontId="86" fillId="2" borderId="26" xfId="0" applyFont="1" applyFill="1" applyBorder="1" applyAlignment="1">
      <alignment horizontal="center" vertical="center"/>
    </xf>
    <xf numFmtId="0" fontId="107"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23" fillId="6" borderId="0" xfId="0" applyFont="1" applyFill="1" applyAlignment="1">
      <alignment horizontal="center" vertical="center" wrapText="1"/>
    </xf>
    <xf numFmtId="0" fontId="109" fillId="49" borderId="74" xfId="0" applyFont="1" applyFill="1" applyBorder="1" applyAlignment="1">
      <alignment horizontal="center" vertical="center" wrapText="1"/>
    </xf>
    <xf numFmtId="0" fontId="109" fillId="49" borderId="41" xfId="0" applyFont="1" applyFill="1" applyBorder="1" applyAlignment="1">
      <alignment horizontal="center" vertical="center" wrapText="1"/>
    </xf>
    <xf numFmtId="0" fontId="109" fillId="50" borderId="9" xfId="0" applyFont="1" applyFill="1" applyBorder="1" applyAlignment="1">
      <alignment vertical="center" wrapText="1"/>
    </xf>
    <xf numFmtId="0" fontId="109" fillId="50" borderId="9" xfId="0" applyFont="1" applyFill="1" applyBorder="1" applyAlignment="1">
      <alignment horizontal="center" vertical="center" wrapText="1"/>
    </xf>
    <xf numFmtId="0" fontId="0" fillId="0" borderId="84" xfId="0" applyBorder="1" applyAlignment="1">
      <alignment horizontal="center" vertical="center" wrapText="1"/>
    </xf>
    <xf numFmtId="0" fontId="27" fillId="68" borderId="0" xfId="0" applyFont="1" applyFill="1" applyAlignment="1">
      <alignment horizontal="center"/>
    </xf>
    <xf numFmtId="0" fontId="27" fillId="18" borderId="0" xfId="0" applyFont="1" applyFill="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65" borderId="19" xfId="0" applyFill="1" applyBorder="1" applyAlignment="1">
      <alignment horizontal="center" vertical="center"/>
    </xf>
    <xf numFmtId="0" fontId="0" fillId="65" borderId="6" xfId="0" applyFill="1" applyBorder="1" applyAlignment="1">
      <alignment horizontal="center" vertical="center"/>
    </xf>
    <xf numFmtId="0" fontId="23" fillId="0" borderId="64" xfId="0" applyFont="1" applyBorder="1" applyAlignment="1">
      <alignment vertical="center"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1" fontId="4" fillId="0" borderId="86" xfId="0" applyNumberFormat="1" applyFont="1" applyBorder="1" applyAlignment="1">
      <alignment horizontal="center"/>
    </xf>
    <xf numFmtId="0" fontId="7" fillId="27" borderId="0" xfId="0" applyFont="1" applyFill="1" applyAlignment="1">
      <alignment horizontal="center" wrapText="1"/>
    </xf>
    <xf numFmtId="16" fontId="0" fillId="0" borderId="0" xfId="0" applyNumberFormat="1" applyAlignment="1">
      <alignment horizontal="center" vertical="center"/>
    </xf>
    <xf numFmtId="1" fontId="2" fillId="0" borderId="86" xfId="0" applyNumberFormat="1" applyFont="1" applyBorder="1" applyAlignment="1">
      <alignment horizontal="center"/>
    </xf>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3" fillId="10" borderId="0" xfId="0" applyFont="1" applyFill="1" applyAlignment="1">
      <alignment vertical="center"/>
    </xf>
    <xf numFmtId="0" fontId="83" fillId="10" borderId="0" xfId="0" applyFont="1" applyFill="1" applyAlignment="1">
      <alignment horizontal="left" vertical="center" wrapText="1"/>
    </xf>
    <xf numFmtId="0" fontId="0" fillId="63"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5" borderId="0" xfId="2" applyNumberFormat="1" applyFont="1" applyFill="1" applyBorder="1" applyAlignment="1">
      <alignment horizontal="center" vertical="center" wrapText="1"/>
    </xf>
    <xf numFmtId="9" fontId="0" fillId="35" borderId="0" xfId="2" applyFont="1" applyFill="1" applyBorder="1" applyAlignment="1">
      <alignment horizontal="center" vertical="center" wrapText="1"/>
    </xf>
    <xf numFmtId="0" fontId="113"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13"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8" xfId="0" applyFill="1" applyBorder="1" applyAlignment="1">
      <alignment horizontal="center" vertical="center"/>
    </xf>
    <xf numFmtId="0" fontId="0" fillId="63" borderId="64" xfId="0" applyFill="1" applyBorder="1" applyAlignment="1">
      <alignment horizontal="center" vertical="center"/>
    </xf>
    <xf numFmtId="0" fontId="0" fillId="63"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5" borderId="36" xfId="0" applyFill="1" applyBorder="1" applyAlignment="1">
      <alignment horizontal="center" vertical="center"/>
    </xf>
    <xf numFmtId="9" fontId="0" fillId="35"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89"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35" borderId="56" xfId="2" applyNumberFormat="1" applyFont="1" applyFill="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13" fillId="10" borderId="64" xfId="0" applyFont="1" applyFill="1" applyBorder="1" applyAlignment="1">
      <alignment horizontal="center" vertical="center"/>
    </xf>
    <xf numFmtId="0" fontId="113" fillId="10" borderId="78" xfId="0" applyFont="1" applyFill="1" applyBorder="1" applyAlignment="1">
      <alignment horizontal="center" vertical="center"/>
    </xf>
    <xf numFmtId="0" fontId="10" fillId="0" borderId="0" xfId="0" applyFont="1" applyAlignment="1">
      <alignment horizontal="left"/>
    </xf>
    <xf numFmtId="0" fontId="114" fillId="16" borderId="36" xfId="0" applyFont="1" applyFill="1" applyBorder="1" applyAlignment="1">
      <alignment horizontal="center" vertical="center"/>
    </xf>
    <xf numFmtId="0" fontId="114" fillId="16" borderId="0" xfId="0" applyFont="1" applyFill="1" applyAlignment="1">
      <alignment horizontal="center" vertical="center"/>
    </xf>
    <xf numFmtId="0" fontId="115" fillId="13" borderId="20" xfId="0" applyFont="1" applyFill="1" applyBorder="1" applyAlignment="1">
      <alignment horizontal="center"/>
    </xf>
    <xf numFmtId="0" fontId="115"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13"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8" xfId="0" applyFill="1" applyBorder="1" applyAlignment="1">
      <alignment horizontal="center" vertical="center"/>
    </xf>
    <xf numFmtId="0" fontId="0" fillId="10" borderId="11" xfId="0" applyFill="1" applyBorder="1" applyAlignment="1">
      <alignment horizontal="center" vertical="center"/>
    </xf>
    <xf numFmtId="0" fontId="0" fillId="10" borderId="90" xfId="0" applyFill="1" applyBorder="1" applyAlignment="1" applyProtection="1">
      <alignment horizontal="center" vertical="center"/>
      <protection locked="0"/>
    </xf>
    <xf numFmtId="0" fontId="7" fillId="6" borderId="0" xfId="0" applyFont="1" applyFill="1" applyAlignment="1">
      <alignment horizontal="center"/>
    </xf>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0" borderId="54" xfId="0" applyFont="1" applyFill="1" applyBorder="1" applyAlignment="1">
      <alignment horizontal="left" vertical="center" wrapText="1"/>
    </xf>
    <xf numFmtId="1" fontId="0" fillId="7" borderId="0" xfId="0" applyNumberFormat="1" applyFill="1" applyAlignment="1">
      <alignment horizontal="center" vertical="center"/>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27" fillId="14" borderId="0" xfId="0" applyFont="1" applyFill="1" applyAlignment="1">
      <alignment horizontal="left" vertical="center" wrapText="1"/>
    </xf>
    <xf numFmtId="0" fontId="27" fillId="31" borderId="0" xfId="0" applyFont="1" applyFill="1" applyAlignment="1">
      <alignment horizontal="left" vertical="center" wrapText="1"/>
    </xf>
    <xf numFmtId="0" fontId="12" fillId="39" borderId="0" xfId="0" applyFont="1" applyFill="1" applyAlignment="1">
      <alignment horizontal="center" vertical="center" wrapText="1"/>
    </xf>
    <xf numFmtId="0" fontId="12" fillId="39" borderId="1" xfId="0" applyFont="1" applyFill="1" applyBorder="1" applyAlignment="1">
      <alignment horizontal="center" vertical="center" wrapText="1"/>
    </xf>
    <xf numFmtId="0" fontId="0" fillId="31" borderId="1" xfId="0" applyFill="1" applyBorder="1" applyAlignment="1">
      <alignment vertical="center" wrapText="1"/>
    </xf>
    <xf numFmtId="0" fontId="12" fillId="49" borderId="54" xfId="0" applyFont="1" applyFill="1" applyBorder="1" applyAlignment="1">
      <alignment horizontal="center" vertical="center" wrapText="1"/>
    </xf>
    <xf numFmtId="0" fontId="49" fillId="45" borderId="55" xfId="0" applyFont="1" applyFill="1" applyBorder="1" applyAlignment="1">
      <alignment horizontal="left" vertical="center" wrapText="1"/>
    </xf>
    <xf numFmtId="0" fontId="27" fillId="31" borderId="56" xfId="0" applyFont="1" applyFill="1" applyBorder="1" applyAlignment="1">
      <alignment horizontal="left" vertical="center" wrapText="1"/>
    </xf>
    <xf numFmtId="0" fontId="0" fillId="34"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0" borderId="0" xfId="0" applyFont="1" applyFill="1" applyAlignment="1">
      <alignment horizontal="left" vertical="center" wrapText="1"/>
    </xf>
    <xf numFmtId="0" fontId="0" fillId="13" borderId="0" xfId="0" applyFill="1" applyAlignment="1">
      <alignment horizontal="center" vertical="center" wrapText="1"/>
    </xf>
    <xf numFmtId="0" fontId="62" fillId="70" borderId="0" xfId="0" applyFont="1" applyFill="1" applyAlignment="1">
      <alignment horizontal="left" vertical="center"/>
    </xf>
    <xf numFmtId="0" fontId="62" fillId="70" borderId="0" xfId="0" applyFont="1" applyFill="1" applyAlignment="1">
      <alignment vertical="center"/>
    </xf>
    <xf numFmtId="0" fontId="32" fillId="70"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0" fillId="0" borderId="9" xfId="0" applyBorder="1" applyAlignment="1">
      <alignment horizontal="right" vertical="center"/>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23" fillId="0" borderId="0" xfId="0" applyFont="1" applyAlignment="1">
      <alignment horizontal="center" vertical="top"/>
    </xf>
    <xf numFmtId="0" fontId="32" fillId="49" borderId="1" xfId="0" applyFont="1" applyFill="1" applyBorder="1" applyAlignment="1">
      <alignment horizontal="center" vertical="center" wrapText="1"/>
    </xf>
    <xf numFmtId="0" fontId="49" fillId="39"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49" borderId="1" xfId="0" applyFill="1" applyBorder="1" applyAlignment="1">
      <alignment horizontal="center"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1" borderId="0" xfId="0" applyFont="1" applyFill="1" applyAlignment="1">
      <alignment horizontal="center"/>
    </xf>
    <xf numFmtId="0" fontId="73" fillId="61" borderId="0" xfId="0" applyFont="1" applyFill="1" applyAlignment="1">
      <alignment horizontal="center" vertical="center"/>
    </xf>
    <xf numFmtId="0" fontId="0" fillId="71" borderId="0" xfId="0" applyFill="1"/>
    <xf numFmtId="0" fontId="0" fillId="71" borderId="0" xfId="0" applyFill="1" applyAlignment="1">
      <alignment horizontal="center"/>
    </xf>
    <xf numFmtId="0" fontId="0" fillId="71" borderId="0" xfId="0" applyFill="1" applyAlignment="1">
      <alignment horizontal="center" vertical="center"/>
    </xf>
    <xf numFmtId="1" fontId="0" fillId="71"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25" fillId="12" borderId="0" xfId="0" applyFont="1" applyFill="1" applyAlignment="1">
      <alignment horizontal="center"/>
    </xf>
    <xf numFmtId="1" fontId="125" fillId="12" borderId="0" xfId="0" applyNumberFormat="1" applyFont="1" applyFill="1" applyAlignment="1">
      <alignment horizontal="center" vertical="center" wrapText="1"/>
    </xf>
    <xf numFmtId="1" fontId="125" fillId="12" borderId="0" xfId="0" applyNumberFormat="1" applyFont="1" applyFill="1" applyAlignment="1">
      <alignment horizontal="center" vertical="center"/>
    </xf>
    <xf numFmtId="1" fontId="0" fillId="61" borderId="4" xfId="0" applyNumberFormat="1" applyFill="1" applyBorder="1" applyAlignment="1">
      <alignment horizontal="center" vertical="center"/>
    </xf>
    <xf numFmtId="0" fontId="125" fillId="0" borderId="0" xfId="0" applyFont="1" applyAlignment="1">
      <alignment horizontal="center"/>
    </xf>
    <xf numFmtId="1" fontId="0" fillId="61"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25"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5" borderId="0" xfId="0" applyFill="1"/>
    <xf numFmtId="0" fontId="0" fillId="55" borderId="0" xfId="0" applyFill="1" applyAlignment="1">
      <alignment horizontal="center"/>
    </xf>
    <xf numFmtId="0" fontId="0" fillId="35" borderId="0" xfId="0" applyFill="1"/>
    <xf numFmtId="0" fontId="0" fillId="35" borderId="0" xfId="0" applyFill="1" applyAlignment="1">
      <alignment horizontal="center"/>
    </xf>
    <xf numFmtId="1" fontId="0" fillId="35"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5" borderId="0" xfId="0" applyNumberFormat="1" applyFill="1" applyAlignment="1">
      <alignment horizontal="center"/>
    </xf>
    <xf numFmtId="0" fontId="0" fillId="29" borderId="0" xfId="0" applyFill="1" applyAlignment="1">
      <alignment horizontal="center"/>
    </xf>
    <xf numFmtId="1" fontId="0" fillId="71" borderId="0" xfId="0" applyNumberFormat="1" applyFill="1" applyAlignment="1">
      <alignment horizontal="center" vertical="center"/>
    </xf>
    <xf numFmtId="1" fontId="0" fillId="71" borderId="11" xfId="0" applyNumberFormat="1" applyFill="1" applyBorder="1" applyAlignment="1">
      <alignment horizontal="center" vertical="center"/>
    </xf>
    <xf numFmtId="1" fontId="73" fillId="61" borderId="2" xfId="0" applyNumberFormat="1" applyFont="1" applyFill="1" applyBorder="1" applyAlignment="1">
      <alignment horizontal="center" vertical="center"/>
    </xf>
    <xf numFmtId="1" fontId="73" fillId="61" borderId="0" xfId="0" applyNumberFormat="1" applyFont="1" applyFill="1" applyAlignment="1">
      <alignment horizontal="center" vertical="center"/>
    </xf>
    <xf numFmtId="0" fontId="122" fillId="0" borderId="0" xfId="0" applyFont="1" applyAlignment="1">
      <alignment vertical="center" wrapText="1"/>
    </xf>
    <xf numFmtId="0" fontId="3" fillId="0" borderId="0" xfId="0" applyFont="1" applyAlignment="1">
      <alignment vertical="center"/>
    </xf>
    <xf numFmtId="0" fontId="121"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1" borderId="21" xfId="0" applyFont="1" applyFill="1" applyBorder="1" applyAlignment="1">
      <alignment horizontal="left" vertical="center" wrapText="1"/>
    </xf>
    <xf numFmtId="0" fontId="72" fillId="31" borderId="0" xfId="0" applyFont="1" applyFill="1" applyAlignment="1">
      <alignment horizontal="left" vertical="center" wrapText="1"/>
    </xf>
    <xf numFmtId="0" fontId="72" fillId="35"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4"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49" borderId="9" xfId="0" applyFont="1" applyFill="1" applyBorder="1" applyAlignment="1">
      <alignment horizontal="center" vertical="center" wrapText="1"/>
    </xf>
    <xf numFmtId="0" fontId="23" fillId="50" borderId="14" xfId="0" applyFont="1" applyFill="1" applyBorder="1" applyAlignment="1">
      <alignment horizontal="center" vertical="center" wrapText="1"/>
    </xf>
    <xf numFmtId="0" fontId="23" fillId="50" borderId="0" xfId="0" applyFont="1" applyFill="1" applyAlignment="1">
      <alignment vertical="center" wrapText="1"/>
    </xf>
    <xf numFmtId="0" fontId="23" fillId="50" borderId="31" xfId="0" applyFont="1" applyFill="1" applyBorder="1" applyAlignment="1">
      <alignment vertical="center" wrapText="1"/>
    </xf>
    <xf numFmtId="0" fontId="23" fillId="50" borderId="15" xfId="0" applyFont="1" applyFill="1" applyBorder="1" applyAlignment="1">
      <alignment vertical="center" wrapText="1"/>
    </xf>
    <xf numFmtId="0" fontId="23" fillId="50"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16" fillId="22" borderId="15" xfId="0" applyNumberFormat="1" applyFont="1" applyFill="1" applyBorder="1" applyAlignment="1">
      <alignment horizontal="center" vertical="center" wrapText="1"/>
    </xf>
    <xf numFmtId="9" fontId="117" fillId="22" borderId="37" xfId="2" applyFont="1" applyFill="1" applyBorder="1" applyAlignment="1">
      <alignment horizontal="center" vertical="center" wrapText="1"/>
    </xf>
    <xf numFmtId="9" fontId="117" fillId="22" borderId="26" xfId="2" applyFont="1" applyFill="1" applyBorder="1" applyAlignment="1">
      <alignment horizontal="center" vertical="center" wrapText="1"/>
    </xf>
    <xf numFmtId="9" fontId="117" fillId="22" borderId="49" xfId="2" applyFont="1" applyFill="1" applyBorder="1" applyAlignment="1">
      <alignment horizontal="center" vertical="center" wrapText="1"/>
    </xf>
    <xf numFmtId="0" fontId="116" fillId="72" borderId="15" xfId="0" applyFont="1" applyFill="1" applyBorder="1" applyAlignment="1">
      <alignment horizontal="left" vertical="center"/>
    </xf>
    <xf numFmtId="0" fontId="3" fillId="22" borderId="0" xfId="0" applyFont="1" applyFill="1" applyAlignment="1">
      <alignment horizontal="center" vertical="center"/>
    </xf>
    <xf numFmtId="0" fontId="118" fillId="22" borderId="0" xfId="0" applyFont="1" applyFill="1" applyAlignment="1">
      <alignment horizontal="center" vertical="center" textRotation="90"/>
    </xf>
    <xf numFmtId="164"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19" fillId="22" borderId="0" xfId="0" applyFont="1" applyFill="1" applyAlignment="1">
      <alignment horizontal="center" vertical="center" textRotation="90"/>
    </xf>
    <xf numFmtId="0" fontId="120" fillId="22" borderId="0" xfId="0" applyFont="1" applyFill="1" applyAlignment="1">
      <alignment horizontal="center" vertical="top" textRotation="90"/>
    </xf>
    <xf numFmtId="0" fontId="0" fillId="0" borderId="2" xfId="0" applyBorder="1" applyAlignment="1">
      <alignment horizontal="left" vertical="center"/>
    </xf>
    <xf numFmtId="0" fontId="73" fillId="61" borderId="8" xfId="0" applyFont="1" applyFill="1" applyBorder="1" applyAlignment="1">
      <alignment horizontal="center" vertical="center"/>
    </xf>
    <xf numFmtId="0" fontId="27" fillId="36"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1" borderId="0" xfId="0" applyNumberFormat="1" applyFill="1" applyAlignment="1">
      <alignment horizontal="center" vertical="center" wrapText="1"/>
    </xf>
    <xf numFmtId="0" fontId="0" fillId="61" borderId="0" xfId="0" applyFill="1" applyAlignment="1">
      <alignment horizontal="center" vertical="center"/>
    </xf>
    <xf numFmtId="0" fontId="0" fillId="0" borderId="3" xfId="0" applyBorder="1" applyAlignment="1">
      <alignment horizontal="right" vertical="center"/>
    </xf>
    <xf numFmtId="1" fontId="0" fillId="61"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4" fillId="0" borderId="9" xfId="0" applyFont="1" applyBorder="1" applyAlignment="1">
      <alignment horizontal="right" vertical="center"/>
    </xf>
    <xf numFmtId="0" fontId="126"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5" borderId="24" xfId="0" applyFont="1" applyFill="1" applyBorder="1" applyAlignment="1">
      <alignment horizontal="left" vertical="center" wrapText="1"/>
    </xf>
    <xf numFmtId="0" fontId="0" fillId="35" borderId="19" xfId="0" applyFill="1" applyBorder="1" applyAlignment="1">
      <alignment horizontal="left" vertical="center" wrapText="1"/>
    </xf>
    <xf numFmtId="0" fontId="29" fillId="31" borderId="0" xfId="0" applyFont="1" applyFill="1" applyAlignment="1">
      <alignment horizontal="center" vertical="center" wrapText="1"/>
    </xf>
    <xf numFmtId="0" fontId="12" fillId="31" borderId="41" xfId="0" applyFont="1" applyFill="1" applyBorder="1" applyAlignment="1">
      <alignment horizontal="center" vertical="center" wrapText="1"/>
    </xf>
    <xf numFmtId="0" fontId="12" fillId="31" borderId="74"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1"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0" borderId="14" xfId="0" applyFill="1" applyBorder="1" applyAlignment="1">
      <alignment horizontal="center" vertical="center" wrapText="1"/>
    </xf>
    <xf numFmtId="0" fontId="0" fillId="50" borderId="0" xfId="0" applyFill="1" applyAlignment="1">
      <alignmen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0"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39" borderId="9" xfId="0" applyFont="1" applyFill="1" applyBorder="1" applyAlignment="1">
      <alignment horizontal="center" vertical="center" wrapText="1"/>
    </xf>
    <xf numFmtId="0" fontId="28" fillId="31" borderId="92" xfId="4" applyFill="1" applyBorder="1" applyAlignment="1">
      <alignment vertical="center" wrapText="1"/>
    </xf>
    <xf numFmtId="0" fontId="23" fillId="21" borderId="2" xfId="0" applyFont="1" applyFill="1" applyBorder="1" applyAlignment="1">
      <alignment horizontal="center" vertical="center" wrapText="1"/>
    </xf>
    <xf numFmtId="0" fontId="126" fillId="9" borderId="0" xfId="0" applyFont="1" applyFill="1" applyAlignment="1">
      <alignment vertical="center"/>
    </xf>
    <xf numFmtId="0" fontId="126" fillId="0" borderId="0" xfId="0" applyFont="1" applyAlignment="1">
      <alignment horizontal="center" vertical="center"/>
    </xf>
    <xf numFmtId="0" fontId="126"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1"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3" borderId="93" xfId="4" applyFill="1" applyBorder="1" applyAlignment="1">
      <alignment vertical="center"/>
    </xf>
    <xf numFmtId="0" fontId="127" fillId="0" borderId="0" xfId="0" applyFont="1" applyAlignment="1">
      <alignment vertical="center"/>
    </xf>
    <xf numFmtId="0" fontId="128" fillId="0" borderId="0" xfId="0" applyFont="1" applyAlignment="1">
      <alignment vertical="center"/>
    </xf>
    <xf numFmtId="0" fontId="32" fillId="50" borderId="43" xfId="0" applyFont="1" applyFill="1" applyBorder="1" applyAlignment="1">
      <alignment horizontal="center" vertical="center" wrapText="1"/>
    </xf>
    <xf numFmtId="0" fontId="0" fillId="50" borderId="9" xfId="0" applyFill="1" applyBorder="1" applyAlignment="1">
      <alignment vertical="center" wrapText="1"/>
    </xf>
    <xf numFmtId="0" fontId="0" fillId="50" borderId="0" xfId="0" applyFill="1" applyAlignment="1">
      <alignment horizontal="center" vertical="center" wrapText="1"/>
    </xf>
    <xf numFmtId="0" fontId="0" fillId="50"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5"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5"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2" xfId="0" applyBorder="1" applyAlignment="1">
      <alignment horizontal="right" indent="1"/>
    </xf>
    <xf numFmtId="164"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24"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2" borderId="54" xfId="0" applyFill="1" applyBorder="1" applyAlignment="1">
      <alignment horizontal="center" vertical="center" wrapText="1"/>
    </xf>
    <xf numFmtId="0" fontId="0" fillId="62" borderId="54" xfId="0" applyFill="1" applyBorder="1" applyAlignment="1">
      <alignment horizontal="left" vertical="center" wrapText="1"/>
    </xf>
    <xf numFmtId="0" fontId="0" fillId="62" borderId="0" xfId="0" applyFill="1" applyAlignment="1">
      <alignment horizontal="center" vertical="center" wrapText="1"/>
    </xf>
    <xf numFmtId="0" fontId="0" fillId="62"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49" borderId="78" xfId="0" applyFont="1" applyFill="1" applyBorder="1" applyAlignment="1">
      <alignment horizontal="left" vertical="center" wrapText="1"/>
    </xf>
    <xf numFmtId="0" fontId="0" fillId="31" borderId="78" xfId="0" applyFill="1" applyBorder="1" applyAlignment="1">
      <alignment horizontal="center" vertical="center" wrapText="1"/>
    </xf>
    <xf numFmtId="0" fontId="0" fillId="51" borderId="78" xfId="0" applyFill="1" applyBorder="1" applyAlignment="1">
      <alignment horizontal="left" vertical="center" wrapText="1"/>
    </xf>
    <xf numFmtId="0" fontId="23" fillId="0" borderId="0" xfId="0" applyFont="1" applyAlignment="1">
      <alignment horizontal="left" vertical="top" wrapText="1"/>
    </xf>
    <xf numFmtId="0" fontId="3" fillId="0" borderId="0" xfId="0" applyFont="1" applyAlignment="1">
      <alignment horizontal="left" vertical="top" wrapText="1"/>
    </xf>
    <xf numFmtId="0" fontId="32" fillId="39" borderId="78" xfId="0" applyFont="1" applyFill="1" applyBorder="1" applyAlignment="1">
      <alignment horizontal="left" vertical="center" wrapText="1"/>
    </xf>
    <xf numFmtId="0" fontId="24" fillId="0" borderId="0" xfId="0" applyFont="1" applyAlignment="1">
      <alignment wrapText="1"/>
    </xf>
    <xf numFmtId="0" fontId="126"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4" xfId="0" applyFill="1" applyBorder="1" applyAlignment="1">
      <alignment horizontal="center" vertical="center" wrapText="1"/>
    </xf>
    <xf numFmtId="0" fontId="0" fillId="0" borderId="95" xfId="0" applyBorder="1" applyAlignment="1">
      <alignment vertical="center"/>
    </xf>
    <xf numFmtId="0" fontId="0" fillId="6" borderId="96" xfId="0" applyFill="1" applyBorder="1" applyAlignment="1">
      <alignment horizontal="center" vertical="center" wrapText="1"/>
    </xf>
    <xf numFmtId="0" fontId="0" fillId="0" borderId="95" xfId="0" applyBorder="1" applyAlignment="1">
      <alignment vertical="center" wrapText="1"/>
    </xf>
    <xf numFmtId="0" fontId="0" fillId="6" borderId="97" xfId="0" applyFill="1" applyBorder="1" applyAlignment="1">
      <alignment vertical="center" wrapText="1"/>
    </xf>
    <xf numFmtId="0" fontId="0" fillId="7" borderId="12" xfId="0" applyFill="1" applyBorder="1" applyAlignment="1">
      <alignment vertical="center" wrapText="1"/>
    </xf>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1" borderId="0" xfId="0" applyFill="1"/>
    <xf numFmtId="0" fontId="2" fillId="31" borderId="0" xfId="0" applyFont="1" applyFill="1"/>
    <xf numFmtId="0" fontId="2" fillId="14" borderId="0" xfId="0" applyFont="1" applyFill="1"/>
    <xf numFmtId="0" fontId="0" fillId="31" borderId="0" xfId="0" applyFill="1" applyAlignment="1">
      <alignment horizontal="center"/>
    </xf>
    <xf numFmtId="0" fontId="0" fillId="62" borderId="0" xfId="0" applyFill="1"/>
    <xf numFmtId="0" fontId="2" fillId="62"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2" fillId="18" borderId="0" xfId="0" applyFont="1" applyFill="1" applyAlignment="1">
      <alignment horizontal="center" wrapText="1"/>
    </xf>
    <xf numFmtId="9" fontId="7" fillId="0" borderId="0" xfId="0" applyNumberFormat="1" applyFont="1" applyAlignment="1">
      <alignment horizontal="center"/>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29" fillId="0" borderId="0" xfId="0" applyFont="1" applyAlignment="1">
      <alignment horizontal="left" vertical="center"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12" fillId="52" borderId="1" xfId="0" applyFont="1" applyFill="1" applyBorder="1" applyAlignment="1">
      <alignment horizontal="center" vertical="center" wrapText="1"/>
    </xf>
    <xf numFmtId="0" fontId="12" fillId="52" borderId="1" xfId="0" applyFont="1"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99" xfId="0" applyBorder="1" applyAlignment="1">
      <alignment horizontal="center"/>
    </xf>
    <xf numFmtId="0" fontId="0" fillId="0" borderId="98" xfId="0" applyBorder="1" applyAlignment="1">
      <alignment horizontal="center"/>
    </xf>
    <xf numFmtId="1" fontId="0" fillId="0" borderId="99" xfId="0" applyNumberFormat="1" applyBorder="1"/>
    <xf numFmtId="1" fontId="0" fillId="0" borderId="99" xfId="0" applyNumberFormat="1" applyBorder="1" applyAlignment="1">
      <alignment horizontal="center"/>
    </xf>
    <xf numFmtId="0" fontId="107" fillId="0" borderId="0" xfId="0" applyFont="1" applyAlignment="1">
      <alignment horizontal="left"/>
    </xf>
    <xf numFmtId="0" fontId="110" fillId="0" borderId="0" xfId="0" applyFont="1"/>
    <xf numFmtId="0" fontId="18" fillId="0" borderId="0" xfId="0" applyFont="1"/>
    <xf numFmtId="0" fontId="0" fillId="0" borderId="99" xfId="0" applyBorder="1" applyAlignment="1">
      <alignment horizontal="center" vertical="center" wrapText="1"/>
    </xf>
    <xf numFmtId="0" fontId="0" fillId="27" borderId="0" xfId="0" applyFill="1" applyAlignment="1">
      <alignment horizontal="left" vertical="center"/>
    </xf>
    <xf numFmtId="0" fontId="131"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13" fillId="55"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1"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0" borderId="1" xfId="0" applyBorder="1" applyAlignment="1">
      <alignment horizontal="right"/>
    </xf>
    <xf numFmtId="1" fontId="0" fillId="0" borderId="1" xfId="0" applyNumberFormat="1" applyBorder="1"/>
    <xf numFmtId="0" fontId="0" fillId="0" borderId="64" xfId="0" applyBorder="1"/>
    <xf numFmtId="0" fontId="0" fillId="0" borderId="78" xfId="0" applyBorder="1" applyAlignment="1">
      <alignment horizontal="right"/>
    </xf>
    <xf numFmtId="1" fontId="0" fillId="0" borderId="78" xfId="0" applyNumberFormat="1" applyBorder="1"/>
    <xf numFmtId="0" fontId="0" fillId="7" borderId="54" xfId="0" applyFill="1" applyBorder="1"/>
    <xf numFmtId="0" fontId="0" fillId="7" borderId="54" xfId="0" applyFill="1" applyBorder="1" applyAlignment="1">
      <alignment horizontal="right"/>
    </xf>
    <xf numFmtId="1" fontId="0" fillId="0" borderId="54" xfId="0" applyNumberFormat="1" applyBorder="1"/>
    <xf numFmtId="0" fontId="107" fillId="0" borderId="0" xfId="0" applyFont="1" applyAlignment="1">
      <alignment horizontal="left" wrapText="1"/>
    </xf>
    <xf numFmtId="1" fontId="2" fillId="0" borderId="0" xfId="0" applyNumberFormat="1" applyFont="1" applyAlignment="1">
      <alignment horizontal="center"/>
    </xf>
    <xf numFmtId="0" fontId="132"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07" fillId="0" borderId="0" xfId="0" applyFont="1" applyAlignment="1">
      <alignment horizontal="center"/>
    </xf>
    <xf numFmtId="0" fontId="107" fillId="0" borderId="0" xfId="0" applyFont="1" applyAlignment="1">
      <alignment wrapText="1"/>
    </xf>
    <xf numFmtId="0" fontId="133"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0" fontId="134" fillId="0" borderId="0" xfId="0" applyFont="1" applyAlignment="1">
      <alignment horizontal="center"/>
    </xf>
    <xf numFmtId="0" fontId="134" fillId="0" borderId="0" xfId="0" applyFont="1" applyAlignment="1">
      <alignment horizontal="left"/>
    </xf>
    <xf numFmtId="0" fontId="135" fillId="0" borderId="0" xfId="0" applyFont="1" applyAlignment="1">
      <alignment horizontal="left"/>
    </xf>
    <xf numFmtId="0" fontId="134" fillId="0" borderId="0" xfId="0" applyFont="1"/>
    <xf numFmtId="0" fontId="136"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03"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37" fillId="0" borderId="0" xfId="0" applyFont="1"/>
    <xf numFmtId="0" fontId="138" fillId="0" borderId="0" xfId="0" applyFont="1"/>
    <xf numFmtId="0" fontId="139" fillId="0" borderId="0" xfId="0" applyFont="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0" fillId="19" borderId="54" xfId="0" applyFill="1" applyBorder="1" applyAlignment="1">
      <alignment horizontal="right"/>
    </xf>
    <xf numFmtId="0" fontId="0" fillId="31" borderId="54" xfId="0" applyFill="1" applyBorder="1" applyAlignment="1">
      <alignment horizontal="right"/>
    </xf>
    <xf numFmtId="0" fontId="0" fillId="3" borderId="54" xfId="0" applyFill="1" applyBorder="1" applyAlignment="1">
      <alignment horizontal="right"/>
    </xf>
    <xf numFmtId="0" fontId="0" fillId="3" borderId="55" xfId="0" applyFill="1" applyBorder="1" applyAlignment="1">
      <alignment horizontal="right"/>
    </xf>
    <xf numFmtId="0" fontId="0" fillId="19" borderId="0" xfId="0" applyFill="1" applyAlignment="1">
      <alignment horizontal="right"/>
    </xf>
    <xf numFmtId="0" fontId="0" fillId="31" borderId="0" xfId="0" applyFill="1" applyAlignment="1">
      <alignment horizontal="right"/>
    </xf>
    <xf numFmtId="0" fontId="0" fillId="3" borderId="0" xfId="0" applyFill="1" applyAlignment="1">
      <alignment horizontal="right"/>
    </xf>
    <xf numFmtId="0" fontId="0" fillId="3" borderId="56" xfId="0" applyFill="1" applyBorder="1" applyAlignment="1">
      <alignment horizontal="right"/>
    </xf>
    <xf numFmtId="0" fontId="0" fillId="19" borderId="1" xfId="0" applyFill="1" applyBorder="1" applyAlignment="1">
      <alignment horizontal="right"/>
    </xf>
    <xf numFmtId="0" fontId="0" fillId="31" borderId="1" xfId="0" applyFill="1" applyBorder="1" applyAlignment="1">
      <alignment horizontal="right"/>
    </xf>
    <xf numFmtId="0" fontId="0" fillId="3" borderId="1" xfId="0" applyFill="1" applyBorder="1" applyAlignment="1">
      <alignment horizontal="right"/>
    </xf>
    <xf numFmtId="0" fontId="0" fillId="3" borderId="63" xfId="0" applyFill="1" applyBorder="1" applyAlignment="1">
      <alignment horizontal="right"/>
    </xf>
    <xf numFmtId="0" fontId="0" fillId="19" borderId="78" xfId="0" applyFill="1" applyBorder="1" applyAlignment="1">
      <alignment horizontal="right"/>
    </xf>
    <xf numFmtId="0" fontId="0" fillId="31" borderId="78" xfId="0" applyFill="1" applyBorder="1" applyAlignment="1">
      <alignment horizontal="right"/>
    </xf>
    <xf numFmtId="0" fontId="0" fillId="3" borderId="78" xfId="0" applyFill="1" applyBorder="1" applyAlignment="1">
      <alignment horizontal="right"/>
    </xf>
    <xf numFmtId="0" fontId="0" fillId="3" borderId="59" xfId="0" applyFill="1" applyBorder="1" applyAlignment="1">
      <alignment horizontal="right"/>
    </xf>
    <xf numFmtId="1" fontId="0" fillId="19" borderId="0" xfId="0" applyNumberFormat="1" applyFill="1" applyAlignment="1">
      <alignment horizontal="right"/>
    </xf>
    <xf numFmtId="1" fontId="0" fillId="31" borderId="0" xfId="0" applyNumberFormat="1" applyFill="1" applyAlignment="1">
      <alignment horizontal="right"/>
    </xf>
    <xf numFmtId="1" fontId="0" fillId="3" borderId="0" xfId="0" applyNumberFormat="1" applyFill="1" applyAlignment="1">
      <alignment horizontal="right"/>
    </xf>
    <xf numFmtId="1" fontId="0" fillId="3" borderId="56" xfId="0" applyNumberFormat="1" applyFill="1" applyBorder="1" applyAlignment="1">
      <alignment horizontal="right"/>
    </xf>
    <xf numFmtId="1" fontId="0" fillId="19" borderId="1" xfId="0" applyNumberFormat="1" applyFill="1" applyBorder="1" applyAlignment="1">
      <alignment horizontal="right"/>
    </xf>
    <xf numFmtId="1" fontId="0" fillId="31" borderId="1" xfId="0" applyNumberFormat="1" applyFill="1" applyBorder="1" applyAlignment="1">
      <alignment horizontal="right"/>
    </xf>
    <xf numFmtId="1" fontId="0" fillId="3" borderId="1" xfId="0" applyNumberFormat="1" applyFill="1" applyBorder="1" applyAlignment="1">
      <alignment horizontal="right"/>
    </xf>
    <xf numFmtId="1" fontId="0" fillId="3" borderId="63" xfId="0" applyNumberFormat="1" applyFill="1" applyBorder="1" applyAlignment="1">
      <alignment horizontal="right"/>
    </xf>
    <xf numFmtId="9" fontId="0" fillId="33" borderId="0" xfId="0" applyNumberFormat="1" applyFill="1" applyAlignment="1">
      <alignment horizontal="center"/>
    </xf>
    <xf numFmtId="0" fontId="4" fillId="0" borderId="0" xfId="0" applyFont="1" applyAlignment="1">
      <alignment horizontal="left"/>
    </xf>
    <xf numFmtId="0" fontId="0" fillId="6" borderId="0" xfId="0" applyFill="1" applyAlignment="1">
      <alignment horizontal="center" wrapText="1"/>
    </xf>
    <xf numFmtId="0" fontId="0" fillId="9" borderId="0" xfId="0" applyFill="1" applyAlignment="1">
      <alignment vertical="center"/>
    </xf>
    <xf numFmtId="0" fontId="6" fillId="0" borderId="0" xfId="0" applyFont="1" applyAlignment="1">
      <alignment wrapText="1"/>
    </xf>
    <xf numFmtId="0" fontId="2" fillId="0" borderId="0" xfId="0" applyFont="1" applyAlignment="1">
      <alignment wrapText="1"/>
    </xf>
    <xf numFmtId="0" fontId="2" fillId="0" borderId="10" xfId="0" applyFont="1" applyBorder="1"/>
    <xf numFmtId="0" fontId="2" fillId="27" borderId="10" xfId="0" applyFont="1" applyFill="1" applyBorder="1"/>
    <xf numFmtId="0" fontId="2" fillId="12" borderId="10" xfId="0" applyFont="1" applyFill="1" applyBorder="1"/>
    <xf numFmtId="0" fontId="0" fillId="12" borderId="0" xfId="0" applyFill="1"/>
    <xf numFmtId="0" fontId="0" fillId="7" borderId="0" xfId="0" applyFill="1" applyAlignment="1">
      <alignment horizontal="center" wrapText="1"/>
    </xf>
    <xf numFmtId="0" fontId="7" fillId="7" borderId="0" xfId="0" applyFont="1" applyFill="1" applyAlignment="1">
      <alignment horizontal="center" wrapText="1"/>
    </xf>
    <xf numFmtId="0" fontId="0" fillId="34" borderId="0" xfId="0" applyFill="1" applyAlignment="1">
      <alignment horizontal="center"/>
    </xf>
    <xf numFmtId="0" fontId="0" fillId="34" borderId="0" xfId="0" applyFill="1" applyAlignment="1">
      <alignment horizontal="center" wrapText="1"/>
    </xf>
    <xf numFmtId="0" fontId="7" fillId="34" borderId="0" xfId="0" applyFont="1" applyFill="1" applyAlignment="1">
      <alignment horizontal="center" wrapText="1"/>
    </xf>
    <xf numFmtId="0" fontId="0" fillId="8" borderId="0" xfId="0" applyFill="1" applyAlignment="1">
      <alignment horizontal="center"/>
    </xf>
    <xf numFmtId="0" fontId="7" fillId="8" borderId="0" xfId="0" applyFont="1" applyFill="1" applyAlignment="1">
      <alignment horizontal="center" wrapText="1"/>
    </xf>
    <xf numFmtId="1" fontId="0" fillId="27" borderId="0" xfId="0" applyNumberFormat="1" applyFill="1" applyAlignment="1">
      <alignment horizontal="center" vertical="center"/>
    </xf>
    <xf numFmtId="1" fontId="0" fillId="34" borderId="0" xfId="0" applyNumberFormat="1" applyFill="1" applyAlignment="1">
      <alignment horizontal="center" vertical="center"/>
    </xf>
    <xf numFmtId="1" fontId="0" fillId="6" borderId="0" xfId="0" applyNumberFormat="1" applyFill="1" applyAlignment="1">
      <alignment horizontal="center" vertical="center"/>
    </xf>
    <xf numFmtId="0" fontId="0" fillId="16" borderId="0" xfId="0" applyFill="1" applyAlignment="1">
      <alignment horizontal="center"/>
    </xf>
    <xf numFmtId="0" fontId="0" fillId="16" borderId="0" xfId="0" applyFill="1" applyAlignment="1">
      <alignment horizontal="center" wrapText="1"/>
    </xf>
    <xf numFmtId="0" fontId="2" fillId="0" borderId="84" xfId="0" applyFont="1" applyBorder="1" applyAlignment="1">
      <alignment horizontal="center"/>
    </xf>
    <xf numFmtId="0" fontId="0" fillId="26" borderId="0" xfId="0" applyFill="1"/>
    <xf numFmtId="0" fontId="0" fillId="26" borderId="0" xfId="0" applyFill="1" applyAlignment="1">
      <alignment wrapText="1"/>
    </xf>
    <xf numFmtId="1" fontId="0" fillId="26" borderId="0" xfId="0" applyNumberFormat="1" applyFill="1" applyAlignment="1">
      <alignment vertical="center"/>
    </xf>
    <xf numFmtId="0" fontId="0" fillId="71" borderId="0" xfId="0" applyFill="1" applyAlignment="1">
      <alignment wrapText="1"/>
    </xf>
    <xf numFmtId="1" fontId="0" fillId="71" borderId="0" xfId="0" applyNumberFormat="1" applyFill="1" applyAlignment="1">
      <alignment vertical="center"/>
    </xf>
    <xf numFmtId="0" fontId="0" fillId="64" borderId="0" xfId="0" applyFill="1" applyAlignment="1">
      <alignment horizontal="center"/>
    </xf>
    <xf numFmtId="0" fontId="7" fillId="64" borderId="0" xfId="0" applyFont="1" applyFill="1" applyAlignment="1">
      <alignment horizontal="center"/>
    </xf>
    <xf numFmtId="1" fontId="0" fillId="64" borderId="0" xfId="0" applyNumberFormat="1" applyFill="1" applyAlignment="1">
      <alignment horizontal="center" vertical="center"/>
    </xf>
    <xf numFmtId="1" fontId="0" fillId="27" borderId="0" xfId="0" applyNumberFormat="1" applyFill="1" applyAlignment="1">
      <alignment vertical="center"/>
    </xf>
    <xf numFmtId="1" fontId="2" fillId="0" borderId="85" xfId="0" applyNumberFormat="1" applyFont="1" applyBorder="1" applyAlignment="1">
      <alignment horizontal="center" vertical="center"/>
    </xf>
    <xf numFmtId="1" fontId="2" fillId="0" borderId="86" xfId="0" applyNumberFormat="1" applyFont="1" applyBorder="1" applyAlignment="1">
      <alignment horizontal="center" vertical="center"/>
    </xf>
    <xf numFmtId="1" fontId="0" fillId="8" borderId="0" xfId="0" applyNumberFormat="1" applyFill="1" applyAlignment="1">
      <alignment horizontal="center" vertical="center" wrapText="1"/>
    </xf>
    <xf numFmtId="1" fontId="0" fillId="27" borderId="0" xfId="0" applyNumberFormat="1" applyFill="1" applyAlignment="1">
      <alignment horizontal="center" vertical="center" wrapText="1"/>
    </xf>
    <xf numFmtId="1" fontId="0" fillId="34" borderId="0" xfId="0" applyNumberFormat="1" applyFill="1" applyAlignment="1">
      <alignment horizontal="center" vertical="center" wrapText="1"/>
    </xf>
    <xf numFmtId="1" fontId="16" fillId="8" borderId="0" xfId="0" applyNumberFormat="1" applyFont="1" applyFill="1" applyAlignment="1">
      <alignment horizontal="center" vertical="center"/>
    </xf>
    <xf numFmtId="1" fontId="0" fillId="14" borderId="0" xfId="0" applyNumberFormat="1" applyFill="1" applyAlignment="1">
      <alignment vertical="center"/>
    </xf>
    <xf numFmtId="1" fontId="0" fillId="26" borderId="0" xfId="0" applyNumberFormat="1" applyFill="1" applyAlignment="1">
      <alignment horizontal="center" vertical="center"/>
    </xf>
    <xf numFmtId="1" fontId="0" fillId="0" borderId="0" xfId="0" applyNumberFormat="1" applyAlignment="1">
      <alignment vertical="top" wrapText="1"/>
    </xf>
    <xf numFmtId="1" fontId="10" fillId="8" borderId="0" xfId="0" applyNumberFormat="1" applyFont="1" applyFill="1" applyAlignment="1">
      <alignment horizontal="center" vertical="center"/>
    </xf>
    <xf numFmtId="1" fontId="10" fillId="7" borderId="0" xfId="0" applyNumberFormat="1" applyFont="1" applyFill="1" applyAlignment="1">
      <alignment horizontal="center" vertical="center"/>
    </xf>
    <xf numFmtId="1" fontId="16" fillId="7" borderId="0" xfId="0" applyNumberFormat="1" applyFont="1" applyFill="1" applyAlignment="1">
      <alignment horizontal="center" vertical="center"/>
    </xf>
    <xf numFmtId="1" fontId="10" fillId="6" borderId="0" xfId="0" applyNumberFormat="1" applyFont="1" applyFill="1" applyAlignment="1">
      <alignment horizontal="center" vertical="center"/>
    </xf>
    <xf numFmtId="1" fontId="16" fillId="6" borderId="0" xfId="0" applyNumberFormat="1" applyFont="1" applyFill="1" applyAlignment="1">
      <alignment horizontal="center" vertical="center"/>
    </xf>
    <xf numFmtId="1" fontId="10" fillId="8" borderId="0" xfId="0" applyNumberFormat="1" applyFont="1" applyFill="1" applyAlignment="1">
      <alignment horizontal="center" vertical="center" wrapText="1"/>
    </xf>
    <xf numFmtId="1" fontId="10" fillId="27" borderId="0" xfId="0" applyNumberFormat="1" applyFont="1" applyFill="1" applyAlignment="1">
      <alignment horizontal="center" vertical="center"/>
    </xf>
    <xf numFmtId="1" fontId="10" fillId="16" borderId="0" xfId="0" applyNumberFormat="1" applyFont="1" applyFill="1" applyAlignment="1">
      <alignment horizontal="center" vertical="center"/>
    </xf>
    <xf numFmtId="1" fontId="10" fillId="34" borderId="0" xfId="0" applyNumberFormat="1" applyFont="1" applyFill="1" applyAlignment="1">
      <alignment horizontal="center" vertical="center"/>
    </xf>
    <xf numFmtId="1" fontId="0" fillId="9" borderId="0" xfId="0" applyNumberFormat="1" applyFill="1" applyAlignment="1">
      <alignment vertical="center"/>
    </xf>
    <xf numFmtId="1" fontId="0" fillId="9" borderId="0" xfId="0" applyNumberFormat="1" applyFill="1" applyAlignment="1">
      <alignment vertical="center" wrapText="1"/>
    </xf>
    <xf numFmtId="1" fontId="2" fillId="9" borderId="85" xfId="0" applyNumberFormat="1" applyFont="1" applyFill="1" applyBorder="1" applyAlignment="1">
      <alignment horizontal="center" vertical="center"/>
    </xf>
    <xf numFmtId="1" fontId="10" fillId="0" borderId="0" xfId="0" applyNumberFormat="1" applyFont="1" applyAlignment="1">
      <alignment horizontal="center" vertical="center"/>
    </xf>
    <xf numFmtId="1" fontId="0" fillId="0" borderId="0" xfId="0" applyNumberFormat="1" applyAlignment="1">
      <alignment wrapText="1"/>
    </xf>
    <xf numFmtId="1" fontId="2" fillId="0" borderId="85" xfId="0" applyNumberFormat="1" applyFont="1" applyBorder="1" applyAlignment="1">
      <alignment horizontal="center"/>
    </xf>
    <xf numFmtId="0" fontId="0" fillId="0" borderId="85" xfId="0" applyBorder="1" applyAlignment="1">
      <alignment horizontal="center" vertical="center" wrapText="1"/>
    </xf>
    <xf numFmtId="0" fontId="0" fillId="15" borderId="0" xfId="0" applyFill="1"/>
    <xf numFmtId="1" fontId="0" fillId="0" borderId="0" xfId="0" applyNumberFormat="1" applyAlignment="1">
      <alignment horizontal="center" vertical="top" wrapText="1"/>
    </xf>
    <xf numFmtId="1" fontId="0" fillId="27" borderId="85" xfId="0" applyNumberFormat="1" applyFill="1" applyBorder="1" applyAlignment="1">
      <alignment horizontal="center" vertical="center"/>
    </xf>
    <xf numFmtId="0" fontId="41" fillId="0" borderId="0" xfId="0" applyFont="1" applyAlignment="1">
      <alignment vertical="top" wrapText="1"/>
    </xf>
    <xf numFmtId="1" fontId="0" fillId="15" borderId="0" xfId="0" applyNumberFormat="1" applyFill="1" applyAlignment="1">
      <alignment horizontal="center" vertical="center"/>
    </xf>
    <xf numFmtId="0" fontId="0" fillId="15" borderId="0" xfId="0" applyFill="1" applyAlignment="1">
      <alignment horizontal="center" vertical="center"/>
    </xf>
    <xf numFmtId="0" fontId="5" fillId="15" borderId="0" xfId="0" applyFont="1" applyFill="1" applyAlignment="1">
      <alignment vertical="center"/>
    </xf>
    <xf numFmtId="0" fontId="50" fillId="0" borderId="78" xfId="0" applyFont="1" applyBorder="1" applyAlignment="1">
      <alignment horizontal="left" vertical="center" wrapText="1"/>
    </xf>
    <xf numFmtId="0" fontId="0" fillId="51" borderId="78" xfId="0" applyFill="1" applyBorder="1" applyAlignment="1">
      <alignment horizontal="center" vertical="center" wrapText="1"/>
    </xf>
    <xf numFmtId="0" fontId="0" fillId="31" borderId="78" xfId="0" applyFill="1" applyBorder="1" applyAlignment="1">
      <alignment horizontal="center" vertical="center"/>
    </xf>
    <xf numFmtId="0" fontId="141" fillId="40" borderId="59" xfId="0" applyFont="1" applyFill="1" applyBorder="1" applyAlignment="1">
      <alignment horizontal="left" vertical="center" wrapText="1"/>
    </xf>
    <xf numFmtId="0" fontId="141" fillId="23" borderId="59" xfId="0" applyFont="1" applyFill="1" applyBorder="1" applyAlignment="1">
      <alignment horizontal="left" vertical="center" wrapText="1"/>
    </xf>
    <xf numFmtId="0" fontId="141" fillId="42" borderId="59" xfId="0" applyFont="1" applyFill="1" applyBorder="1" applyAlignment="1">
      <alignment horizontal="left" vertical="center" wrapText="1"/>
    </xf>
    <xf numFmtId="0" fontId="28" fillId="31" borderId="59" xfId="0" applyFont="1" applyFill="1" applyBorder="1" applyAlignment="1">
      <alignment horizontal="left" vertical="center" wrapText="1"/>
    </xf>
    <xf numFmtId="0" fontId="37" fillId="0" borderId="0" xfId="0" applyFont="1" applyAlignment="1">
      <alignment vertical="top"/>
    </xf>
    <xf numFmtId="0" fontId="130" fillId="0" borderId="0" xfId="0" applyFont="1" applyAlignment="1">
      <alignment vertical="top"/>
    </xf>
    <xf numFmtId="0" fontId="141" fillId="41" borderId="59" xfId="0" applyFont="1" applyFill="1" applyBorder="1" applyAlignment="1">
      <alignment horizontal="left" vertical="center" wrapText="1"/>
    </xf>
    <xf numFmtId="0" fontId="141" fillId="0" borderId="0" xfId="0" applyFont="1" applyAlignment="1">
      <alignment horizontal="left" vertical="center" wrapText="1"/>
    </xf>
    <xf numFmtId="0" fontId="141" fillId="41" borderId="63" xfId="0" applyFont="1" applyFill="1" applyBorder="1" applyAlignment="1">
      <alignment horizontal="left" vertical="center" wrapText="1"/>
    </xf>
    <xf numFmtId="0" fontId="141" fillId="39" borderId="59" xfId="0" applyFont="1" applyFill="1" applyBorder="1" applyAlignment="1">
      <alignment horizontal="left" vertical="center" wrapText="1"/>
    </xf>
    <xf numFmtId="0" fontId="28" fillId="35" borderId="78" xfId="0" applyFont="1" applyFill="1" applyBorder="1" applyAlignment="1">
      <alignment horizontal="left" vertical="center" wrapText="1"/>
    </xf>
    <xf numFmtId="0" fontId="28" fillId="8" borderId="78" xfId="0" applyFont="1" applyFill="1" applyBorder="1" applyAlignment="1">
      <alignment horizontal="left" vertical="center" wrapText="1"/>
    </xf>
    <xf numFmtId="0" fontId="28" fillId="35" borderId="78" xfId="0" applyFont="1" applyFill="1" applyBorder="1" applyAlignment="1">
      <alignment horizontal="center" vertical="center" wrapText="1"/>
    </xf>
    <xf numFmtId="0" fontId="28" fillId="7" borderId="78" xfId="0" applyFont="1" applyFill="1" applyBorder="1" applyAlignment="1">
      <alignment horizontal="left" vertical="center" wrapText="1"/>
    </xf>
    <xf numFmtId="0" fontId="141" fillId="40" borderId="78" xfId="0" applyFont="1" applyFill="1" applyBorder="1" applyAlignment="1">
      <alignment horizontal="left" vertical="center" wrapText="1"/>
    </xf>
    <xf numFmtId="0" fontId="28" fillId="5" borderId="78" xfId="0" applyFont="1" applyFill="1" applyBorder="1" applyAlignment="1">
      <alignment horizontal="left" vertical="center" wrapText="1"/>
    </xf>
    <xf numFmtId="0" fontId="28" fillId="38" borderId="78" xfId="0" applyFont="1" applyFill="1" applyBorder="1" applyAlignment="1">
      <alignment horizontal="left" vertical="center" wrapText="1"/>
    </xf>
    <xf numFmtId="0" fontId="28" fillId="14" borderId="78" xfId="0" applyFont="1" applyFill="1" applyBorder="1" applyAlignment="1">
      <alignment horizontal="left" vertical="center" wrapText="1"/>
    </xf>
    <xf numFmtId="0" fontId="28" fillId="31" borderId="78" xfId="0" applyFont="1" applyFill="1" applyBorder="1" applyAlignment="1">
      <alignment horizontal="left" vertical="center" wrapText="1"/>
    </xf>
    <xf numFmtId="1" fontId="0" fillId="35" borderId="78" xfId="0" applyNumberFormat="1" applyFill="1" applyBorder="1" applyAlignment="1">
      <alignment horizontal="center" vertical="center" wrapText="1"/>
    </xf>
    <xf numFmtId="0" fontId="4" fillId="0" borderId="0" xfId="0" applyFont="1" applyAlignment="1">
      <alignment horizontal="center"/>
    </xf>
    <xf numFmtId="0" fontId="23" fillId="0" borderId="0" xfId="0" applyFont="1" applyAlignment="1">
      <alignment horizontal="center" vertical="top" wrapText="1"/>
    </xf>
    <xf numFmtId="1" fontId="0" fillId="7" borderId="78" xfId="0" applyNumberFormat="1" applyFill="1" applyBorder="1" applyAlignment="1">
      <alignment horizontal="center" vertical="center" wrapText="1"/>
    </xf>
    <xf numFmtId="0" fontId="3" fillId="0" borderId="0" xfId="0" applyFont="1" applyAlignment="1">
      <alignment horizontal="center" vertical="top" wrapText="1"/>
    </xf>
    <xf numFmtId="1" fontId="0" fillId="51" borderId="78" xfId="0" applyNumberFormat="1" applyFill="1" applyBorder="1" applyAlignment="1">
      <alignment horizontal="center" vertical="center" wrapText="1"/>
    </xf>
    <xf numFmtId="1" fontId="0" fillId="31" borderId="78" xfId="0" applyNumberFormat="1" applyFill="1" applyBorder="1" applyAlignment="1">
      <alignment horizontal="center" vertical="center" wrapText="1"/>
    </xf>
    <xf numFmtId="1" fontId="32" fillId="39" borderId="78" xfId="0" applyNumberFormat="1" applyFont="1" applyFill="1" applyBorder="1" applyAlignment="1">
      <alignment horizontal="center" vertical="center" wrapText="1"/>
    </xf>
    <xf numFmtId="1" fontId="0" fillId="51" borderId="78" xfId="0" applyNumberFormat="1" applyFill="1" applyBorder="1" applyAlignment="1">
      <alignment horizontal="center" vertical="center"/>
    </xf>
    <xf numFmtId="1" fontId="12" fillId="52" borderId="1" xfId="0" applyNumberFormat="1" applyFont="1" applyFill="1" applyBorder="1" applyAlignment="1">
      <alignment horizontal="center" vertical="center" wrapText="1"/>
    </xf>
    <xf numFmtId="1" fontId="28" fillId="31" borderId="59" xfId="0" applyNumberFormat="1" applyFont="1" applyFill="1" applyBorder="1" applyAlignment="1">
      <alignment horizontal="left" vertical="center" wrapText="1"/>
    </xf>
    <xf numFmtId="1" fontId="28" fillId="0" borderId="0" xfId="0" applyNumberFormat="1" applyFont="1" applyAlignment="1">
      <alignment horizontal="center" vertical="center" wrapText="1"/>
    </xf>
    <xf numFmtId="0" fontId="28" fillId="34" borderId="0" xfId="0" applyFont="1" applyFill="1" applyAlignment="1">
      <alignment horizontal="left" vertical="center" wrapText="1"/>
    </xf>
    <xf numFmtId="0" fontId="0" fillId="34" borderId="0" xfId="0" applyFill="1" applyAlignment="1">
      <alignment vertical="center" wrapText="1"/>
    </xf>
    <xf numFmtId="0" fontId="8" fillId="27" borderId="84" xfId="0" applyFont="1" applyFill="1" applyBorder="1" applyAlignment="1">
      <alignment horizontal="center" wrapText="1"/>
    </xf>
    <xf numFmtId="0" fontId="0" fillId="27" borderId="85" xfId="0" applyFill="1" applyBorder="1"/>
    <xf numFmtId="0" fontId="0" fillId="27" borderId="85" xfId="0" applyFill="1" applyBorder="1" applyAlignment="1">
      <alignment horizontal="left" vertical="center" wrapText="1"/>
    </xf>
    <xf numFmtId="1" fontId="2" fillId="3" borderId="85" xfId="0" applyNumberFormat="1" applyFont="1" applyFill="1" applyBorder="1" applyAlignment="1">
      <alignment horizontal="center" vertical="center"/>
    </xf>
    <xf numFmtId="0" fontId="0" fillId="0" borderId="0" xfId="0" applyAlignment="1">
      <alignment horizontal="left" wrapText="1"/>
    </xf>
    <xf numFmtId="1" fontId="27" fillId="0" borderId="0" xfId="0" applyNumberFormat="1" applyFont="1" applyAlignment="1">
      <alignment horizontal="center"/>
    </xf>
    <xf numFmtId="0" fontId="10" fillId="0" borderId="19" xfId="0" applyFont="1" applyBorder="1" applyAlignment="1">
      <alignment horizontal="center"/>
    </xf>
    <xf numFmtId="0" fontId="0" fillId="0" borderId="56" xfId="0" applyBorder="1" applyAlignment="1">
      <alignment horizontal="center"/>
    </xf>
    <xf numFmtId="0" fontId="2" fillId="0" borderId="1" xfId="0" applyFont="1" applyBorder="1" applyAlignment="1">
      <alignment horizontal="center"/>
    </xf>
    <xf numFmtId="0" fontId="2" fillId="0" borderId="63" xfId="0" applyFont="1" applyBorder="1" applyAlignment="1">
      <alignment horizontal="center"/>
    </xf>
    <xf numFmtId="0" fontId="0" fillId="34" borderId="36" xfId="0" applyFill="1" applyBorder="1" applyAlignment="1">
      <alignment horizontal="center"/>
    </xf>
    <xf numFmtId="0" fontId="0" fillId="34" borderId="0" xfId="0" applyFill="1"/>
    <xf numFmtId="0" fontId="2" fillId="34" borderId="62" xfId="0" applyFont="1" applyFill="1" applyBorder="1" applyAlignment="1">
      <alignment horizontal="center"/>
    </xf>
    <xf numFmtId="0" fontId="2" fillId="34" borderId="1" xfId="0" applyFont="1" applyFill="1" applyBorder="1" applyAlignment="1">
      <alignment horizontal="center"/>
    </xf>
    <xf numFmtId="0" fontId="0" fillId="27" borderId="36" xfId="0" applyFill="1" applyBorder="1" applyAlignment="1">
      <alignment horizontal="center"/>
    </xf>
    <xf numFmtId="0" fontId="0" fillId="27" borderId="56" xfId="0" applyFill="1" applyBorder="1"/>
    <xf numFmtId="0" fontId="0" fillId="4" borderId="0" xfId="0" applyFill="1" applyAlignment="1">
      <alignment vertical="center"/>
    </xf>
    <xf numFmtId="0" fontId="0" fillId="4" borderId="54" xfId="0" applyFill="1" applyBorder="1"/>
    <xf numFmtId="0" fontId="0" fillId="4" borderId="78" xfId="0" applyFill="1" applyBorder="1"/>
    <xf numFmtId="0" fontId="0" fillId="4" borderId="1" xfId="0" applyFill="1" applyBorder="1"/>
    <xf numFmtId="0" fontId="12" fillId="50" borderId="54" xfId="0" applyFont="1" applyFill="1" applyBorder="1" applyAlignment="1">
      <alignment horizontal="center" vertical="center" wrapText="1"/>
    </xf>
    <xf numFmtId="0" fontId="12" fillId="39" borderId="78" xfId="0" applyFont="1" applyFill="1" applyBorder="1" applyAlignment="1">
      <alignment horizontal="left" vertical="center" wrapText="1"/>
    </xf>
    <xf numFmtId="0" fontId="12" fillId="24" borderId="54" xfId="0" applyFont="1" applyFill="1" applyBorder="1" applyAlignment="1">
      <alignment horizontal="left" vertical="center" wrapText="1"/>
    </xf>
    <xf numFmtId="0" fontId="3" fillId="2" borderId="16" xfId="0" applyFont="1" applyFill="1" applyBorder="1" applyAlignment="1">
      <alignment horizontal="center" vertical="center" wrapText="1"/>
    </xf>
    <xf numFmtId="0" fontId="49" fillId="0" borderId="78" xfId="0" applyFont="1" applyBorder="1" applyAlignment="1">
      <alignment horizontal="left" vertical="center" wrapText="1"/>
    </xf>
    <xf numFmtId="0" fontId="2" fillId="0" borderId="0" xfId="0" applyFont="1" applyAlignment="1">
      <alignment vertical="top"/>
    </xf>
    <xf numFmtId="0" fontId="0" fillId="0" borderId="54" xfId="0" applyBorder="1" applyAlignment="1">
      <alignment horizontal="center"/>
    </xf>
    <xf numFmtId="0" fontId="85" fillId="0" borderId="0" xfId="0" applyFont="1" applyAlignment="1">
      <alignment horizontal="center"/>
    </xf>
    <xf numFmtId="0" fontId="102" fillId="0" borderId="0" xfId="0" applyFont="1" applyAlignment="1">
      <alignment horizontal="center"/>
    </xf>
    <xf numFmtId="0" fontId="13" fillId="0" borderId="0" xfId="0" applyFont="1" applyAlignment="1">
      <alignment horizontal="center"/>
    </xf>
    <xf numFmtId="0" fontId="6" fillId="0" borderId="0" xfId="0" applyFont="1" applyAlignment="1">
      <alignment horizontal="center"/>
    </xf>
    <xf numFmtId="0" fontId="49" fillId="75" borderId="0" xfId="0" applyFont="1" applyFill="1" applyAlignment="1">
      <alignment horizontal="left" vertical="center" wrapText="1"/>
    </xf>
    <xf numFmtId="0" fontId="12" fillId="50" borderId="0" xfId="0" applyFont="1" applyFill="1" applyAlignment="1">
      <alignment horizontal="center" vertical="center" wrapText="1"/>
    </xf>
    <xf numFmtId="0" fontId="0" fillId="0" borderId="59" xfId="0" applyBorder="1"/>
    <xf numFmtId="0" fontId="27" fillId="14" borderId="1" xfId="0" applyFont="1" applyFill="1" applyBorder="1" applyAlignment="1">
      <alignment vertical="center" wrapText="1"/>
    </xf>
    <xf numFmtId="0" fontId="49" fillId="75" borderId="78" xfId="0" applyFont="1" applyFill="1" applyBorder="1" applyAlignment="1">
      <alignment horizontal="left" vertical="center" wrapText="1"/>
    </xf>
    <xf numFmtId="0" fontId="37" fillId="14" borderId="54" xfId="0" applyFont="1" applyFill="1" applyBorder="1" applyAlignment="1">
      <alignment wrapText="1"/>
    </xf>
    <xf numFmtId="0" fontId="37" fillId="45" borderId="1" xfId="0" applyFont="1" applyFill="1" applyBorder="1" applyAlignment="1">
      <alignment horizontal="left" vertical="center" wrapText="1"/>
    </xf>
    <xf numFmtId="0" fontId="0" fillId="14" borderId="63" xfId="0" applyFill="1" applyBorder="1" applyAlignment="1">
      <alignment wrapText="1"/>
    </xf>
    <xf numFmtId="0" fontId="27" fillId="34" borderId="0" xfId="0" applyFont="1" applyFill="1" applyAlignment="1">
      <alignment horizontal="left" vertical="center" wrapText="1"/>
    </xf>
    <xf numFmtId="0" fontId="0" fillId="51" borderId="54" xfId="0" applyFill="1" applyBorder="1" applyAlignment="1">
      <alignment horizontal="left" vertical="center" wrapText="1"/>
    </xf>
    <xf numFmtId="0" fontId="12" fillId="50" borderId="0" xfId="0" applyFont="1" applyFill="1" applyAlignment="1">
      <alignment horizontal="left" vertical="center" wrapText="1"/>
    </xf>
    <xf numFmtId="0" fontId="12" fillId="25" borderId="1" xfId="0" applyFont="1" applyFill="1" applyBorder="1" applyAlignment="1">
      <alignment horizontal="left" vertical="center" wrapText="1"/>
    </xf>
    <xf numFmtId="0" fontId="12" fillId="50" borderId="1" xfId="0" applyFont="1" applyFill="1" applyBorder="1" applyAlignment="1">
      <alignment horizontal="left" vertical="center" wrapText="1"/>
    </xf>
    <xf numFmtId="1" fontId="0" fillId="35" borderId="54" xfId="0" applyNumberFormat="1" applyFill="1" applyBorder="1" applyAlignment="1">
      <alignment horizontal="center" vertical="center" wrapText="1"/>
    </xf>
    <xf numFmtId="0" fontId="0" fillId="0" borderId="1" xfId="0" applyBorder="1" applyAlignment="1">
      <alignment horizontal="center"/>
    </xf>
    <xf numFmtId="0" fontId="0" fillId="0" borderId="78" xfId="0" applyBorder="1" applyAlignment="1">
      <alignment horizontal="center"/>
    </xf>
    <xf numFmtId="0" fontId="27" fillId="0" borderId="54"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78" xfId="0" applyFont="1" applyBorder="1" applyAlignment="1">
      <alignment horizontal="center" vertical="center" wrapText="1"/>
    </xf>
    <xf numFmtId="1" fontId="0" fillId="35" borderId="1" xfId="0" applyNumberFormat="1" applyFill="1" applyBorder="1" applyAlignment="1">
      <alignment horizontal="center" vertical="center" wrapText="1"/>
    </xf>
    <xf numFmtId="1" fontId="0" fillId="7" borderId="54" xfId="0" applyNumberFormat="1" applyFill="1" applyBorder="1" applyAlignment="1">
      <alignment horizontal="center" vertical="center" wrapText="1"/>
    </xf>
    <xf numFmtId="1" fontId="12" fillId="53" borderId="1" xfId="0" applyNumberFormat="1" applyFont="1" applyFill="1" applyBorder="1" applyAlignment="1">
      <alignment horizontal="center" vertical="center" wrapText="1"/>
    </xf>
    <xf numFmtId="1" fontId="32" fillId="53" borderId="1" xfId="0" applyNumberFormat="1" applyFont="1" applyFill="1" applyBorder="1" applyAlignment="1">
      <alignment horizontal="center" vertical="center" wrapText="1"/>
    </xf>
    <xf numFmtId="0" fontId="93" fillId="0" borderId="0" xfId="0" applyFont="1" applyAlignment="1">
      <alignment horizontal="center"/>
    </xf>
    <xf numFmtId="0" fontId="0" fillId="13" borderId="78" xfId="0" applyFill="1" applyBorder="1" applyAlignment="1">
      <alignment horizontal="center" vertical="center" wrapText="1"/>
    </xf>
    <xf numFmtId="1" fontId="0" fillId="13" borderId="78" xfId="0" applyNumberFormat="1" applyFill="1" applyBorder="1" applyAlignment="1">
      <alignment horizontal="center" vertical="center" wrapText="1"/>
    </xf>
    <xf numFmtId="0" fontId="0" fillId="13" borderId="54" xfId="0" applyFill="1" applyBorder="1" applyAlignment="1">
      <alignment horizontal="center" vertical="center" wrapText="1"/>
    </xf>
    <xf numFmtId="0" fontId="0" fillId="13" borderId="1" xfId="0" applyFill="1" applyBorder="1" applyAlignment="1">
      <alignment horizontal="center" vertical="center" wrapText="1"/>
    </xf>
    <xf numFmtId="0" fontId="27" fillId="38" borderId="1" xfId="0" applyFont="1" applyFill="1" applyBorder="1" applyAlignment="1">
      <alignment horizontal="center" vertical="center" wrapText="1"/>
    </xf>
    <xf numFmtId="1" fontId="0" fillId="13" borderId="54" xfId="0" applyNumberFormat="1" applyFill="1" applyBorder="1" applyAlignment="1">
      <alignment horizontal="center" vertical="center" wrapText="1"/>
    </xf>
    <xf numFmtId="1" fontId="0" fillId="3" borderId="54" xfId="0" applyNumberFormat="1" applyFill="1" applyBorder="1" applyAlignment="1">
      <alignment horizontal="center" vertical="center" wrapText="1"/>
    </xf>
    <xf numFmtId="1" fontId="0" fillId="3" borderId="1" xfId="0" applyNumberFormat="1" applyFill="1" applyBorder="1" applyAlignment="1">
      <alignment horizontal="center" vertical="center" wrapText="1"/>
    </xf>
    <xf numFmtId="1" fontId="0" fillId="13" borderId="1" xfId="0" applyNumberFormat="1" applyFill="1" applyBorder="1" applyAlignment="1">
      <alignment horizontal="center" vertical="center" wrapText="1"/>
    </xf>
    <xf numFmtId="1" fontId="0" fillId="62" borderId="54" xfId="0" applyNumberFormat="1" applyFill="1" applyBorder="1" applyAlignment="1">
      <alignment horizontal="center" vertical="center" wrapText="1"/>
    </xf>
    <xf numFmtId="1" fontId="0" fillId="62" borderId="0" xfId="0" applyNumberFormat="1" applyFill="1" applyAlignment="1">
      <alignment horizontal="center" vertical="center" wrapText="1"/>
    </xf>
    <xf numFmtId="1" fontId="0" fillId="62" borderId="1" xfId="0" applyNumberFormat="1" applyFill="1" applyBorder="1" applyAlignment="1">
      <alignment horizontal="center" vertical="center" wrapText="1"/>
    </xf>
    <xf numFmtId="1" fontId="0" fillId="3" borderId="0" xfId="0" applyNumberFormat="1" applyFill="1" applyAlignment="1">
      <alignment horizontal="center" vertical="center" wrapText="1"/>
    </xf>
    <xf numFmtId="0" fontId="0" fillId="6" borderId="54" xfId="0" applyFill="1" applyBorder="1" applyAlignment="1">
      <alignment horizontal="center" vertical="center" wrapText="1"/>
    </xf>
    <xf numFmtId="1" fontId="0" fillId="6" borderId="54" xfId="0" applyNumberFormat="1" applyFill="1" applyBorder="1" applyAlignment="1">
      <alignment horizontal="center" vertical="center" wrapText="1"/>
    </xf>
    <xf numFmtId="0" fontId="0" fillId="6" borderId="78" xfId="0" applyFill="1" applyBorder="1" applyAlignment="1">
      <alignment horizontal="center" vertical="center" wrapText="1"/>
    </xf>
    <xf numFmtId="0" fontId="79" fillId="6" borderId="0" xfId="0" applyFont="1" applyFill="1" applyAlignment="1">
      <alignment horizontal="center" vertical="center" wrapText="1"/>
    </xf>
    <xf numFmtId="1" fontId="0" fillId="7" borderId="1" xfId="0" applyNumberFormat="1" applyFill="1" applyBorder="1" applyAlignment="1">
      <alignment horizontal="center" vertical="center" wrapText="1"/>
    </xf>
    <xf numFmtId="1" fontId="0" fillId="6" borderId="1" xfId="0" applyNumberFormat="1" applyFill="1" applyBorder="1" applyAlignment="1">
      <alignment horizontal="center" vertical="center" wrapText="1"/>
    </xf>
    <xf numFmtId="1" fontId="0" fillId="6" borderId="78" xfId="0" applyNumberFormat="1" applyFill="1" applyBorder="1" applyAlignment="1">
      <alignment horizontal="center" vertical="center" wrapText="1"/>
    </xf>
    <xf numFmtId="1" fontId="12" fillId="49" borderId="78" xfId="0" applyNumberFormat="1" applyFont="1" applyFill="1" applyBorder="1" applyAlignment="1">
      <alignment horizontal="center" vertical="center" wrapText="1"/>
    </xf>
    <xf numFmtId="1" fontId="12" fillId="25" borderId="54" xfId="0" applyNumberFormat="1" applyFont="1" applyFill="1" applyBorder="1" applyAlignment="1">
      <alignment horizontal="center" vertical="center" wrapText="1"/>
    </xf>
    <xf numFmtId="1" fontId="79" fillId="6" borderId="0" xfId="0" applyNumberFormat="1" applyFont="1" applyFill="1" applyAlignment="1">
      <alignment horizontal="center" vertical="center" wrapText="1"/>
    </xf>
    <xf numFmtId="1" fontId="12" fillId="50" borderId="0" xfId="0" applyNumberFormat="1" applyFont="1" applyFill="1" applyAlignment="1">
      <alignment horizontal="center" vertical="center" wrapText="1"/>
    </xf>
    <xf numFmtId="1" fontId="12" fillId="24" borderId="54" xfId="0" applyNumberFormat="1" applyFont="1" applyFill="1" applyBorder="1" applyAlignment="1">
      <alignment horizontal="center" vertical="center" wrapText="1"/>
    </xf>
    <xf numFmtId="0" fontId="0" fillId="31" borderId="54" xfId="0" applyFill="1" applyBorder="1" applyAlignment="1">
      <alignment horizontal="center" vertical="center" wrapText="1"/>
    </xf>
    <xf numFmtId="1" fontId="0" fillId="31" borderId="54" xfId="0" applyNumberFormat="1" applyFill="1" applyBorder="1" applyAlignment="1">
      <alignment horizontal="center" vertical="center" wrapText="1"/>
    </xf>
    <xf numFmtId="0" fontId="0" fillId="31" borderId="1" xfId="0" applyFill="1" applyBorder="1" applyAlignment="1">
      <alignment horizontal="center" vertical="center" wrapText="1"/>
    </xf>
    <xf numFmtId="0" fontId="0" fillId="0" borderId="12" xfId="0" applyBorder="1" applyAlignment="1">
      <alignment horizontal="left" vertical="center"/>
    </xf>
    <xf numFmtId="1" fontId="0" fillId="51" borderId="54" xfId="0" applyNumberFormat="1" applyFill="1" applyBorder="1" applyAlignment="1">
      <alignment horizontal="center" vertical="center" wrapText="1"/>
    </xf>
    <xf numFmtId="0" fontId="49" fillId="48" borderId="55" xfId="0" applyFont="1" applyFill="1" applyBorder="1" applyAlignment="1">
      <alignment horizontal="left" vertical="center" wrapText="1"/>
    </xf>
    <xf numFmtId="0" fontId="0" fillId="0" borderId="53" xfId="0" applyBorder="1" applyAlignment="1">
      <alignment horizontal="center" vertical="center" wrapText="1"/>
    </xf>
    <xf numFmtId="0" fontId="0" fillId="63" borderId="0" xfId="0" applyFill="1" applyAlignment="1">
      <alignment vertical="center"/>
    </xf>
    <xf numFmtId="0" fontId="0" fillId="63" borderId="0" xfId="0" applyFill="1" applyAlignment="1">
      <alignment vertical="center" wrapText="1"/>
    </xf>
    <xf numFmtId="0" fontId="50" fillId="23" borderId="59" xfId="0" applyFont="1" applyFill="1" applyBorder="1" applyAlignment="1">
      <alignment horizontal="left" vertical="center" wrapText="1"/>
    </xf>
    <xf numFmtId="0" fontId="0" fillId="0" borderId="18" xfId="0" applyBorder="1" applyAlignment="1">
      <alignment vertical="center" wrapText="1"/>
    </xf>
    <xf numFmtId="0" fontId="0" fillId="35" borderId="11" xfId="0" applyFill="1" applyBorder="1" applyAlignment="1">
      <alignment horizontal="center" vertical="center" wrapText="1"/>
    </xf>
    <xf numFmtId="0" fontId="0" fillId="35" borderId="11" xfId="0" applyFill="1" applyBorder="1" applyAlignment="1">
      <alignment vertical="center" wrapText="1"/>
    </xf>
    <xf numFmtId="1" fontId="0" fillId="35" borderId="11" xfId="0" applyNumberFormat="1" applyFill="1" applyBorder="1" applyAlignment="1">
      <alignment horizontal="center" vertical="center" wrapText="1"/>
    </xf>
    <xf numFmtId="0" fontId="27" fillId="38" borderId="11" xfId="0" applyFont="1" applyFill="1" applyBorder="1" applyAlignment="1">
      <alignment horizontal="left" vertical="center" wrapText="1"/>
    </xf>
    <xf numFmtId="0" fontId="0" fillId="4" borderId="11" xfId="0" applyFill="1" applyBorder="1"/>
    <xf numFmtId="0" fontId="0" fillId="3" borderId="11" xfId="0" applyFill="1" applyBorder="1" applyAlignment="1">
      <alignment horizontal="center" vertical="center" wrapText="1"/>
    </xf>
    <xf numFmtId="0" fontId="0" fillId="13" borderId="11" xfId="0" applyFill="1" applyBorder="1" applyAlignment="1">
      <alignment horizontal="left" vertical="center" wrapText="1"/>
    </xf>
    <xf numFmtId="1" fontId="0" fillId="13" borderId="11" xfId="0" applyNumberFormat="1" applyFill="1" applyBorder="1" applyAlignment="1">
      <alignment horizontal="center" vertical="center" wrapText="1"/>
    </xf>
    <xf numFmtId="0" fontId="0" fillId="13" borderId="11" xfId="0" applyFill="1" applyBorder="1" applyAlignment="1">
      <alignment horizontal="center" vertical="center" wrapText="1"/>
    </xf>
    <xf numFmtId="0" fontId="12" fillId="24" borderId="11" xfId="0" applyFont="1" applyFill="1" applyBorder="1" applyAlignment="1">
      <alignment horizontal="center" vertical="center" wrapText="1"/>
    </xf>
    <xf numFmtId="0" fontId="0" fillId="6" borderId="11" xfId="0" applyFill="1" applyBorder="1" applyAlignment="1">
      <alignment horizontal="left" vertical="center" wrapText="1"/>
    </xf>
    <xf numFmtId="1" fontId="0" fillId="6" borderId="11" xfId="0" applyNumberFormat="1" applyFill="1" applyBorder="1" applyAlignment="1">
      <alignment horizontal="center" vertical="center" wrapText="1"/>
    </xf>
    <xf numFmtId="0" fontId="0" fillId="6" borderId="11" xfId="0" applyFill="1" applyBorder="1" applyAlignment="1">
      <alignment horizontal="center" vertical="center" wrapText="1"/>
    </xf>
    <xf numFmtId="0" fontId="0" fillId="0" borderId="20" xfId="0" applyBorder="1" applyAlignment="1">
      <alignment vertical="center" wrapText="1"/>
    </xf>
    <xf numFmtId="0" fontId="0" fillId="7" borderId="10" xfId="0" applyFill="1" applyBorder="1" applyAlignment="1">
      <alignment horizontal="center" vertical="center" wrapText="1"/>
    </xf>
    <xf numFmtId="0" fontId="0" fillId="7" borderId="10" xfId="0" applyFill="1" applyBorder="1" applyAlignment="1">
      <alignment vertical="center" wrapText="1"/>
    </xf>
    <xf numFmtId="0" fontId="27" fillId="38" borderId="10" xfId="0" applyFont="1" applyFill="1" applyBorder="1" applyAlignment="1">
      <alignment horizontal="left" vertical="center" wrapText="1"/>
    </xf>
    <xf numFmtId="0" fontId="0" fillId="0" borderId="10" xfId="0" applyBorder="1" applyAlignment="1">
      <alignment horizontal="left" vertical="center" wrapText="1"/>
    </xf>
    <xf numFmtId="0" fontId="27" fillId="0" borderId="10" xfId="0" applyFont="1" applyBorder="1" applyAlignment="1">
      <alignment horizontal="left" vertical="center" wrapText="1"/>
    </xf>
    <xf numFmtId="0" fontId="0" fillId="4" borderId="10" xfId="0" applyFill="1" applyBorder="1"/>
    <xf numFmtId="0" fontId="12" fillId="25" borderId="10" xfId="0" applyFont="1" applyFill="1" applyBorder="1" applyAlignment="1">
      <alignment horizontal="center" vertical="center" wrapText="1"/>
    </xf>
    <xf numFmtId="0" fontId="0" fillId="7" borderId="10" xfId="0" applyFill="1" applyBorder="1" applyAlignment="1">
      <alignment horizontal="left" vertical="center" wrapText="1"/>
    </xf>
    <xf numFmtId="1" fontId="0" fillId="7" borderId="10" xfId="0" applyNumberFormat="1" applyFill="1" applyBorder="1" applyAlignment="1">
      <alignment horizontal="center" vertical="center" wrapText="1"/>
    </xf>
    <xf numFmtId="1" fontId="12" fillId="0" borderId="0" xfId="0" applyNumberFormat="1" applyFont="1" applyAlignment="1">
      <alignment horizontal="center" vertical="center" wrapText="1"/>
    </xf>
    <xf numFmtId="0" fontId="49" fillId="53" borderId="78" xfId="0" applyFont="1" applyFill="1" applyBorder="1" applyAlignment="1">
      <alignment horizontal="left" vertical="center" wrapText="1"/>
    </xf>
    <xf numFmtId="0" fontId="49" fillId="75" borderId="54" xfId="0" applyFont="1" applyFill="1" applyBorder="1" applyAlignment="1">
      <alignment horizontal="left" vertical="center" wrapText="1"/>
    </xf>
    <xf numFmtId="0" fontId="142" fillId="0" borderId="0" xfId="0" applyFont="1" applyAlignment="1">
      <alignment horizontal="center"/>
    </xf>
    <xf numFmtId="0" fontId="142" fillId="28" borderId="0" xfId="0" applyFont="1" applyFill="1" applyAlignment="1">
      <alignment horizontal="center"/>
    </xf>
    <xf numFmtId="0" fontId="142" fillId="28" borderId="0" xfId="0" applyFont="1" applyFill="1"/>
    <xf numFmtId="0" fontId="142" fillId="28" borderId="0" xfId="0" applyFont="1" applyFill="1" applyAlignment="1">
      <alignment vertical="center"/>
    </xf>
    <xf numFmtId="0" fontId="142" fillId="28" borderId="0" xfId="0" applyFont="1" applyFill="1" applyAlignment="1">
      <alignment horizontal="center" vertical="center"/>
    </xf>
    <xf numFmtId="0" fontId="115" fillId="0" borderId="0" xfId="0" applyFont="1" applyAlignment="1">
      <alignment horizontal="center"/>
    </xf>
    <xf numFmtId="0" fontId="28" fillId="0" borderId="1" xfId="0" applyFont="1" applyBorder="1" applyAlignment="1">
      <alignment horizontal="left" vertical="center" wrapText="1"/>
    </xf>
    <xf numFmtId="0" fontId="141" fillId="0" borderId="1" xfId="0" applyFont="1" applyBorder="1" applyAlignment="1">
      <alignment horizontal="left" vertical="center" wrapText="1"/>
    </xf>
    <xf numFmtId="0" fontId="32" fillId="0" borderId="0" xfId="0" applyFont="1" applyAlignment="1">
      <alignment horizontal="left" vertical="center" wrapText="1"/>
    </xf>
    <xf numFmtId="1" fontId="32" fillId="0" borderId="0" xfId="0" applyNumberFormat="1" applyFont="1" applyAlignment="1">
      <alignment horizontal="center" vertical="center" wrapText="1"/>
    </xf>
    <xf numFmtId="1" fontId="24" fillId="0" borderId="0" xfId="0" applyNumberFormat="1" applyFont="1" applyAlignment="1">
      <alignment horizontal="center" vertical="center" wrapText="1"/>
    </xf>
    <xf numFmtId="0" fontId="39" fillId="0" borderId="18" xfId="0" applyFont="1" applyBorder="1" applyAlignment="1">
      <alignment horizontal="center" vertical="center"/>
    </xf>
    <xf numFmtId="0" fontId="0" fillId="0" borderId="19" xfId="0" applyBorder="1" applyAlignment="1">
      <alignment horizontal="center"/>
    </xf>
    <xf numFmtId="0" fontId="102" fillId="0" borderId="19" xfId="0" applyFont="1" applyBorder="1" applyAlignment="1">
      <alignment horizontal="center"/>
    </xf>
    <xf numFmtId="1" fontId="24" fillId="0" borderId="19" xfId="0" applyNumberFormat="1" applyFont="1" applyBorder="1" applyAlignment="1">
      <alignment horizontal="center" wrapText="1"/>
    </xf>
    <xf numFmtId="0" fontId="18" fillId="0" borderId="0" xfId="0" applyFont="1" applyAlignment="1">
      <alignment horizontal="left" vertical="center"/>
    </xf>
    <xf numFmtId="0" fontId="0" fillId="0" borderId="19" xfId="0" applyBorder="1" applyAlignment="1">
      <alignment horizontal="center" vertical="center" wrapText="1"/>
    </xf>
    <xf numFmtId="0" fontId="0" fillId="27" borderId="85" xfId="0" applyFill="1" applyBorder="1" applyAlignment="1">
      <alignment horizontal="center" vertical="center" wrapText="1"/>
    </xf>
    <xf numFmtId="0" fontId="0" fillId="27" borderId="85" xfId="0" applyFill="1" applyBorder="1" applyAlignment="1">
      <alignment horizontal="center" vertical="center"/>
    </xf>
    <xf numFmtId="16" fontId="0" fillId="15" borderId="0" xfId="0" applyNumberFormat="1" applyFill="1" applyAlignment="1">
      <alignment horizontal="center" vertical="center"/>
    </xf>
    <xf numFmtId="0" fontId="0" fillId="33" borderId="0" xfId="0" applyFill="1" applyAlignment="1">
      <alignment horizontal="center" wrapText="1"/>
    </xf>
    <xf numFmtId="0" fontId="0" fillId="33" borderId="0" xfId="0" applyFill="1" applyAlignment="1">
      <alignment horizontal="center" vertical="center"/>
    </xf>
    <xf numFmtId="0" fontId="0" fillId="33" borderId="85" xfId="0" applyFill="1" applyBorder="1" applyAlignment="1">
      <alignment horizontal="center" vertical="center"/>
    </xf>
    <xf numFmtId="0" fontId="2" fillId="33" borderId="0" xfId="0" applyFont="1" applyFill="1" applyAlignment="1">
      <alignment horizontal="center" vertical="center"/>
    </xf>
    <xf numFmtId="0" fontId="2" fillId="33" borderId="85" xfId="0" applyFont="1" applyFill="1" applyBorder="1" applyAlignment="1">
      <alignment horizontal="center" vertical="center"/>
    </xf>
    <xf numFmtId="1" fontId="2" fillId="33" borderId="0" xfId="0" applyNumberFormat="1" applyFont="1" applyFill="1" applyAlignment="1">
      <alignment horizontal="center" vertical="center"/>
    </xf>
    <xf numFmtId="0" fontId="2" fillId="33" borderId="0" xfId="0" applyFont="1" applyFill="1" applyAlignment="1">
      <alignment vertical="center"/>
    </xf>
    <xf numFmtId="0" fontId="144" fillId="33" borderId="0" xfId="0" applyFont="1" applyFill="1" applyAlignment="1">
      <alignment vertical="center" wrapText="1"/>
    </xf>
    <xf numFmtId="0" fontId="2" fillId="33" borderId="0" xfId="0" applyFont="1" applyFill="1" applyAlignment="1">
      <alignment horizontal="center" vertical="center" wrapText="1"/>
    </xf>
    <xf numFmtId="0" fontId="2" fillId="34" borderId="62" xfId="0" applyFont="1" applyFill="1" applyBorder="1" applyAlignment="1">
      <alignment horizontal="center" vertical="center"/>
    </xf>
    <xf numFmtId="0" fontId="2" fillId="34"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63" xfId="0" applyFont="1" applyBorder="1" applyAlignment="1">
      <alignment horizontal="center" vertical="center"/>
    </xf>
    <xf numFmtId="0" fontId="8" fillId="0" borderId="0" xfId="0" applyFont="1" applyAlignment="1">
      <alignment vertical="center"/>
    </xf>
    <xf numFmtId="0" fontId="0" fillId="27" borderId="36" xfId="0" applyFill="1" applyBorder="1" applyAlignment="1">
      <alignment horizontal="center" vertical="center"/>
    </xf>
    <xf numFmtId="0" fontId="0" fillId="27" borderId="56" xfId="0" applyFill="1" applyBorder="1" applyAlignment="1">
      <alignment vertical="center"/>
    </xf>
    <xf numFmtId="0" fontId="0" fillId="34" borderId="36" xfId="0" applyFill="1" applyBorder="1" applyAlignment="1">
      <alignment horizontal="center" vertical="center"/>
    </xf>
    <xf numFmtId="0" fontId="0" fillId="34" borderId="0" xfId="0" applyFill="1" applyAlignment="1">
      <alignment horizontal="center" vertical="center"/>
    </xf>
    <xf numFmtId="0" fontId="0" fillId="0" borderId="56" xfId="0" applyBorder="1" applyAlignment="1">
      <alignment vertical="center"/>
    </xf>
    <xf numFmtId="0" fontId="41" fillId="0" borderId="0" xfId="0" applyFont="1" applyAlignment="1">
      <alignment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xf>
    <xf numFmtId="0" fontId="13" fillId="27" borderId="0" xfId="0" applyFont="1" applyFill="1" applyAlignment="1">
      <alignment horizontal="center" vertical="center" wrapText="1"/>
    </xf>
    <xf numFmtId="0" fontId="7" fillId="27" borderId="0" xfId="0" applyFont="1" applyFill="1" applyAlignment="1">
      <alignment horizontal="center" vertical="center" wrapText="1"/>
    </xf>
    <xf numFmtId="0" fontId="0" fillId="33" borderId="0" xfId="0" applyFill="1" applyAlignment="1">
      <alignment horizontal="left"/>
    </xf>
    <xf numFmtId="0" fontId="13" fillId="0" borderId="0" xfId="0" applyFont="1"/>
    <xf numFmtId="0" fontId="41" fillId="0" borderId="0" xfId="0" applyFont="1" applyAlignment="1">
      <alignment horizontal="center" vertical="top" wrapText="1"/>
    </xf>
    <xf numFmtId="16" fontId="0" fillId="27" borderId="0" xfId="0" applyNumberFormat="1" applyFill="1" applyAlignment="1">
      <alignment horizontal="center" vertical="center"/>
    </xf>
    <xf numFmtId="0" fontId="0" fillId="27" borderId="10" xfId="0" applyFill="1" applyBorder="1" applyAlignment="1">
      <alignment horizontal="center" vertical="center"/>
    </xf>
    <xf numFmtId="0" fontId="0" fillId="33" borderId="0" xfId="0" applyFill="1" applyAlignment="1">
      <alignment vertical="center" wrapText="1"/>
    </xf>
    <xf numFmtId="0" fontId="0" fillId="33" borderId="0" xfId="0" applyFill="1" applyAlignment="1">
      <alignment vertical="center"/>
    </xf>
    <xf numFmtId="0" fontId="0" fillId="0" borderId="56" xfId="0" applyBorder="1" applyAlignment="1">
      <alignment horizontal="center" vertical="center"/>
    </xf>
    <xf numFmtId="0" fontId="0" fillId="33" borderId="84" xfId="0" applyFill="1" applyBorder="1" applyAlignment="1">
      <alignment horizontal="center" vertical="center"/>
    </xf>
    <xf numFmtId="0" fontId="3" fillId="7" borderId="0" xfId="0" applyFont="1" applyFill="1" applyAlignment="1">
      <alignment vertical="center"/>
    </xf>
    <xf numFmtId="0" fontId="0" fillId="27" borderId="21" xfId="0" applyFill="1" applyBorder="1" applyAlignment="1">
      <alignment horizontal="center" vertical="center"/>
    </xf>
    <xf numFmtId="0" fontId="0" fillId="7" borderId="11" xfId="0" applyFill="1" applyBorder="1" applyAlignment="1">
      <alignment horizontal="center" vertical="center"/>
    </xf>
    <xf numFmtId="0" fontId="0" fillId="27" borderId="11" xfId="0" applyFill="1" applyBorder="1" applyAlignment="1">
      <alignment horizontal="center" vertical="center"/>
    </xf>
    <xf numFmtId="0" fontId="27" fillId="68" borderId="0" xfId="0" applyFont="1" applyFill="1" applyAlignment="1">
      <alignment horizontal="center" textRotation="90"/>
    </xf>
    <xf numFmtId="0" fontId="27" fillId="18" borderId="0" xfId="0" applyFont="1" applyFill="1" applyAlignment="1">
      <alignment horizontal="center" textRotation="90"/>
    </xf>
    <xf numFmtId="0" fontId="27" fillId="68" borderId="0" xfId="0" applyFont="1" applyFill="1" applyAlignment="1">
      <alignment horizontal="center" vertical="center"/>
    </xf>
    <xf numFmtId="1" fontId="27" fillId="18" borderId="0" xfId="0" applyNumberFormat="1" applyFont="1" applyFill="1" applyAlignment="1">
      <alignment horizontal="center" vertical="center"/>
    </xf>
    <xf numFmtId="0" fontId="27" fillId="33" borderId="0" xfId="0" applyFont="1" applyFill="1" applyAlignment="1">
      <alignment horizontal="center" vertical="center"/>
    </xf>
    <xf numFmtId="0" fontId="27" fillId="7" borderId="0" xfId="0" applyFont="1" applyFill="1" applyAlignment="1">
      <alignment horizontal="center" vertical="center"/>
    </xf>
    <xf numFmtId="1" fontId="27" fillId="33" borderId="0" xfId="0" applyNumberFormat="1" applyFont="1" applyFill="1" applyAlignment="1">
      <alignment horizontal="center" vertical="center"/>
    </xf>
    <xf numFmtId="1" fontId="0" fillId="33" borderId="85" xfId="0" applyNumberFormat="1" applyFill="1" applyBorder="1" applyAlignment="1">
      <alignment horizontal="center" vertical="center"/>
    </xf>
    <xf numFmtId="0" fontId="49" fillId="42" borderId="11" xfId="0" applyFont="1" applyFill="1" applyBorder="1" applyAlignment="1">
      <alignment horizontal="left" vertical="center" wrapText="1"/>
    </xf>
    <xf numFmtId="0" fontId="49" fillId="42" borderId="10" xfId="0" applyFont="1" applyFill="1" applyBorder="1" applyAlignment="1">
      <alignment horizontal="left" vertical="center" wrapText="1"/>
    </xf>
    <xf numFmtId="0" fontId="12" fillId="0" borderId="64" xfId="0" applyFont="1" applyBorder="1" applyAlignment="1">
      <alignment horizontal="center" vertical="center" wrapText="1"/>
    </xf>
    <xf numFmtId="0" fontId="27" fillId="0" borderId="59" xfId="0" applyFont="1" applyBorder="1" applyAlignment="1">
      <alignment horizontal="left" vertical="center" wrapText="1"/>
    </xf>
    <xf numFmtId="0" fontId="12" fillId="0" borderId="53" xfId="0" applyFont="1" applyBorder="1" applyAlignment="1">
      <alignment horizontal="center" vertical="center" wrapText="1"/>
    </xf>
    <xf numFmtId="0" fontId="27" fillId="0" borderId="55" xfId="0" applyFont="1" applyBorder="1" applyAlignment="1">
      <alignment horizontal="left" vertical="center" wrapText="1"/>
    </xf>
    <xf numFmtId="0" fontId="12" fillId="0" borderId="62" xfId="0" applyFont="1" applyBorder="1" applyAlignment="1">
      <alignment horizontal="center" vertical="center" wrapText="1"/>
    </xf>
    <xf numFmtId="0" fontId="8" fillId="6" borderId="6" xfId="0" applyFont="1" applyFill="1" applyBorder="1" applyAlignment="1">
      <alignment horizontal="center" vertical="center" wrapText="1"/>
    </xf>
    <xf numFmtId="0" fontId="13" fillId="27" borderId="19" xfId="0" applyFont="1" applyFill="1" applyBorder="1" applyAlignment="1">
      <alignment horizontal="center" wrapText="1"/>
    </xf>
    <xf numFmtId="0" fontId="13" fillId="27" borderId="6" xfId="0" applyFont="1" applyFill="1" applyBorder="1" applyAlignment="1">
      <alignment horizontal="center" vertical="center" wrapText="1"/>
    </xf>
    <xf numFmtId="0" fontId="8" fillId="6" borderId="19" xfId="0" applyFont="1" applyFill="1" applyBorder="1" applyAlignment="1">
      <alignment horizontal="center" vertical="center" wrapText="1"/>
    </xf>
    <xf numFmtId="0" fontId="0" fillId="0" borderId="6" xfId="0" applyBorder="1" applyAlignment="1">
      <alignment horizontal="center" vertical="center" wrapText="1"/>
    </xf>
    <xf numFmtId="0" fontId="33" fillId="27" borderId="0" xfId="0" applyFont="1" applyFill="1" applyAlignment="1">
      <alignment horizontal="center" vertical="center" wrapText="1"/>
    </xf>
    <xf numFmtId="0" fontId="145" fillId="0" borderId="0" xfId="0" applyFont="1"/>
    <xf numFmtId="0" fontId="0" fillId="71" borderId="0" xfId="0" applyFill="1" applyAlignment="1">
      <alignment horizontal="center" vertical="center" wrapText="1"/>
    </xf>
    <xf numFmtId="0" fontId="146" fillId="0" borderId="0" xfId="0" applyFont="1"/>
    <xf numFmtId="0" fontId="147" fillId="0" borderId="0" xfId="0" applyFont="1"/>
    <xf numFmtId="0" fontId="13" fillId="0" borderId="0" xfId="0" applyFont="1" applyAlignment="1">
      <alignment horizontal="center" vertical="center" wrapText="1"/>
    </xf>
    <xf numFmtId="0" fontId="143" fillId="0" borderId="0" xfId="0" applyFont="1" applyAlignment="1">
      <alignment horizontal="center" vertical="center" wrapText="1"/>
    </xf>
    <xf numFmtId="0" fontId="8" fillId="6" borderId="6" xfId="0" applyFont="1" applyFill="1" applyBorder="1" applyAlignment="1">
      <alignment vertical="center" wrapText="1"/>
    </xf>
    <xf numFmtId="0" fontId="147" fillId="0" borderId="0" xfId="0" applyFont="1" applyAlignment="1">
      <alignment textRotation="45"/>
    </xf>
    <xf numFmtId="0" fontId="0" fillId="0" borderId="0" xfId="0" applyAlignment="1">
      <alignment textRotation="45"/>
    </xf>
    <xf numFmtId="0" fontId="147" fillId="0" borderId="2" xfId="0" applyFont="1" applyBorder="1" applyAlignment="1">
      <alignment horizontal="center"/>
    </xf>
    <xf numFmtId="1" fontId="24" fillId="0" borderId="79" xfId="0" applyNumberFormat="1" applyFont="1" applyBorder="1" applyAlignment="1">
      <alignment horizontal="center" vertical="center" wrapText="1"/>
    </xf>
    <xf numFmtId="0" fontId="0" fillId="0" borderId="6" xfId="0" applyBorder="1"/>
    <xf numFmtId="0" fontId="0" fillId="0" borderId="19" xfId="0" applyBorder="1"/>
    <xf numFmtId="0" fontId="0" fillId="0" borderId="20" xfId="0" applyBorder="1"/>
    <xf numFmtId="0" fontId="0" fillId="0" borderId="14" xfId="0" applyBorder="1"/>
    <xf numFmtId="0" fontId="0" fillId="71" borderId="19" xfId="0" applyFill="1" applyBorder="1"/>
    <xf numFmtId="0" fontId="0" fillId="71" borderId="6" xfId="0" applyFill="1" applyBorder="1"/>
    <xf numFmtId="0" fontId="147" fillId="12" borderId="0" xfId="0" applyFont="1" applyFill="1"/>
    <xf numFmtId="0" fontId="0" fillId="12" borderId="2" xfId="0" applyFill="1" applyBorder="1" applyAlignment="1">
      <alignment horizontal="center"/>
    </xf>
    <xf numFmtId="0" fontId="147" fillId="12" borderId="2" xfId="0" applyFont="1" applyFill="1" applyBorder="1" applyAlignment="1">
      <alignment horizontal="center"/>
    </xf>
    <xf numFmtId="0" fontId="24" fillId="0" borderId="0" xfId="0" applyFont="1" applyAlignment="1">
      <alignment horizontal="center" vertical="center" wrapText="1"/>
    </xf>
    <xf numFmtId="164" fontId="0" fillId="0" borderId="0" xfId="1" applyNumberFormat="1" applyFont="1" applyFill="1" applyAlignment="1">
      <alignment horizontal="center" vertical="center"/>
    </xf>
    <xf numFmtId="0" fontId="17" fillId="0" borderId="0" xfId="0" applyFont="1"/>
    <xf numFmtId="0" fontId="0" fillId="0" borderId="0" xfId="0" applyAlignment="1">
      <alignment horizontal="center" vertical="center" textRotation="90"/>
    </xf>
    <xf numFmtId="0" fontId="16" fillId="0" borderId="0" xfId="0" applyFont="1" applyAlignment="1">
      <alignment wrapText="1"/>
    </xf>
    <xf numFmtId="0" fontId="0" fillId="31" borderId="0" xfId="0" applyFill="1" applyAlignment="1">
      <alignment vertical="center"/>
    </xf>
    <xf numFmtId="1" fontId="0" fillId="6" borderId="2" xfId="0" applyNumberFormat="1" applyFill="1" applyBorder="1" applyAlignment="1">
      <alignment horizontal="center" vertical="center"/>
    </xf>
    <xf numFmtId="1" fontId="0" fillId="18" borderId="2" xfId="0" applyNumberFormat="1" applyFill="1" applyBorder="1" applyAlignment="1">
      <alignment horizontal="center" vertical="center"/>
    </xf>
    <xf numFmtId="0" fontId="25" fillId="0" borderId="0" xfId="0" applyFont="1" applyAlignment="1">
      <alignment wrapText="1"/>
    </xf>
    <xf numFmtId="0" fontId="13" fillId="0" borderId="0" xfId="0" applyFont="1" applyAlignment="1">
      <alignment vertical="top"/>
    </xf>
    <xf numFmtId="0" fontId="0" fillId="31" borderId="0" xfId="0" quotePrefix="1" applyFill="1" applyAlignment="1">
      <alignment horizontal="center" vertical="center"/>
    </xf>
    <xf numFmtId="0" fontId="0" fillId="71" borderId="0" xfId="0" applyFill="1" applyAlignment="1">
      <alignment horizontal="center" wrapText="1"/>
    </xf>
    <xf numFmtId="0" fontId="35" fillId="0" borderId="0" xfId="0" applyFont="1"/>
    <xf numFmtId="0" fontId="38" fillId="0" borderId="0" xfId="0" applyFont="1" applyAlignment="1">
      <alignment horizontal="center" vertical="center"/>
    </xf>
    <xf numFmtId="0" fontId="0" fillId="4" borderId="0" xfId="0" applyFill="1" applyAlignment="1">
      <alignment wrapText="1"/>
    </xf>
    <xf numFmtId="0" fontId="14" fillId="0" borderId="0" xfId="0" applyFont="1" applyAlignment="1">
      <alignment vertical="top"/>
    </xf>
    <xf numFmtId="1" fontId="0" fillId="33" borderId="0" xfId="0" applyNumberFormat="1" applyFill="1" applyAlignment="1">
      <alignment horizontal="center" vertical="center"/>
    </xf>
    <xf numFmtId="0" fontId="0" fillId="33" borderId="0" xfId="0" applyFill="1"/>
    <xf numFmtId="1" fontId="0" fillId="33" borderId="0" xfId="0" applyNumberFormat="1" applyFill="1" applyAlignment="1">
      <alignment horizontal="center"/>
    </xf>
    <xf numFmtId="0" fontId="0" fillId="6" borderId="36" xfId="0" applyFill="1" applyBorder="1" applyAlignment="1">
      <alignment horizontal="center" vertical="center"/>
    </xf>
    <xf numFmtId="0" fontId="0" fillId="6" borderId="56" xfId="0" applyFill="1" applyBorder="1" applyAlignment="1">
      <alignment horizontal="center" vertical="center"/>
    </xf>
    <xf numFmtId="0" fontId="3" fillId="15" borderId="0" xfId="0" applyFont="1" applyFill="1" applyAlignment="1">
      <alignment wrapText="1"/>
    </xf>
    <xf numFmtId="0" fontId="148" fillId="0" borderId="0" xfId="0" applyFont="1" applyAlignment="1">
      <alignment horizontal="center"/>
    </xf>
    <xf numFmtId="1" fontId="3" fillId="0" borderId="0" xfId="0" applyNumberFormat="1" applyFont="1"/>
    <xf numFmtId="1" fontId="4" fillId="0" borderId="15" xfId="0" applyNumberFormat="1" applyFont="1" applyBorder="1" applyAlignment="1">
      <alignment vertical="center" wrapText="1"/>
    </xf>
    <xf numFmtId="1" fontId="4" fillId="0" borderId="16" xfId="0" applyNumberFormat="1" applyFont="1" applyBorder="1" applyAlignment="1">
      <alignment vertical="center" wrapText="1"/>
    </xf>
    <xf numFmtId="1" fontId="4" fillId="0" borderId="0" xfId="0" applyNumberFormat="1" applyFont="1" applyAlignment="1">
      <alignment vertical="center" wrapText="1"/>
    </xf>
    <xf numFmtId="0" fontId="115" fillId="4" borderId="20" xfId="0" applyFont="1" applyFill="1" applyBorder="1" applyAlignment="1">
      <alignment horizontal="center"/>
    </xf>
    <xf numFmtId="0" fontId="115" fillId="4" borderId="14" xfId="0" applyFont="1" applyFill="1" applyBorder="1" applyAlignment="1">
      <alignment horizontal="center"/>
    </xf>
    <xf numFmtId="0" fontId="10" fillId="4" borderId="0" xfId="0" applyFont="1" applyFill="1" applyAlignment="1">
      <alignment horizontal="right"/>
    </xf>
    <xf numFmtId="0" fontId="10" fillId="4" borderId="0" xfId="0" applyFont="1" applyFill="1" applyAlignment="1">
      <alignment horizontal="center"/>
    </xf>
    <xf numFmtId="0" fontId="3" fillId="4" borderId="0" xfId="0" applyFont="1" applyFill="1" applyAlignment="1">
      <alignment horizontal="center"/>
    </xf>
    <xf numFmtId="0" fontId="115" fillId="13" borderId="0" xfId="0" applyFont="1" applyFill="1" applyAlignment="1">
      <alignment horizontal="center"/>
    </xf>
    <xf numFmtId="0" fontId="4" fillId="33" borderId="0" xfId="0" applyFont="1" applyFill="1" applyAlignment="1">
      <alignment horizontal="left" vertical="center" wrapText="1"/>
    </xf>
    <xf numFmtId="0" fontId="0" fillId="71" borderId="0" xfId="0" applyFill="1" applyAlignment="1">
      <alignment vertical="center"/>
    </xf>
    <xf numFmtId="0" fontId="6" fillId="6" borderId="0" xfId="0" applyFont="1" applyFill="1"/>
    <xf numFmtId="0" fontId="7" fillId="0" borderId="0" xfId="0" applyFont="1" applyAlignment="1">
      <alignment wrapText="1"/>
    </xf>
    <xf numFmtId="0" fontId="2" fillId="0" borderId="0" xfId="0" applyFont="1" applyAlignment="1">
      <alignment horizontal="right"/>
    </xf>
    <xf numFmtId="1" fontId="0" fillId="0" borderId="0" xfId="0" applyNumberFormat="1" applyAlignment="1">
      <alignment horizontal="right"/>
    </xf>
    <xf numFmtId="0" fontId="107" fillId="0" borderId="0" xfId="0" applyFont="1"/>
    <xf numFmtId="0" fontId="0" fillId="8" borderId="106" xfId="0" applyFill="1" applyBorder="1" applyAlignment="1">
      <alignment vertical="center"/>
    </xf>
    <xf numFmtId="1" fontId="0" fillId="16" borderId="107" xfId="0" applyNumberFormat="1" applyFill="1" applyBorder="1" applyAlignment="1">
      <alignment horizontal="center" vertical="center"/>
    </xf>
    <xf numFmtId="0" fontId="0" fillId="16" borderId="108" xfId="0" applyFill="1" applyBorder="1" applyAlignment="1">
      <alignment horizontal="center" vertical="center"/>
    </xf>
    <xf numFmtId="0" fontId="0" fillId="16" borderId="107" xfId="0" applyFill="1" applyBorder="1" applyAlignment="1">
      <alignment horizontal="center" vertical="center"/>
    </xf>
    <xf numFmtId="0" fontId="0" fillId="16" borderId="109" xfId="0" applyFill="1" applyBorder="1" applyAlignment="1" applyProtection="1">
      <alignment horizontal="center" vertical="center"/>
      <protection locked="0"/>
    </xf>
    <xf numFmtId="0" fontId="0" fillId="8" borderId="107" xfId="0" applyFill="1" applyBorder="1" applyAlignment="1">
      <alignment vertical="center" wrapText="1"/>
    </xf>
    <xf numFmtId="0" fontId="0" fillId="71" borderId="5" xfId="0" applyFill="1" applyBorder="1" applyAlignment="1">
      <alignment vertical="center" wrapText="1"/>
    </xf>
    <xf numFmtId="0" fontId="0" fillId="71" borderId="30" xfId="0" applyFill="1" applyBorder="1" applyAlignment="1">
      <alignment horizontal="center" vertical="center" wrapText="1"/>
    </xf>
    <xf numFmtId="0" fontId="35" fillId="0" borderId="0" xfId="0" applyFont="1" applyAlignment="1">
      <alignment horizontal="center" wrapText="1"/>
    </xf>
    <xf numFmtId="0" fontId="4" fillId="71" borderId="0" xfId="0" applyFont="1" applyFill="1" applyAlignment="1">
      <alignment wrapText="1"/>
    </xf>
    <xf numFmtId="0" fontId="14" fillId="71" borderId="0" xfId="0" applyFont="1" applyFill="1"/>
    <xf numFmtId="0" fontId="4" fillId="71" borderId="0" xfId="0" applyFont="1" applyFill="1"/>
    <xf numFmtId="0" fontId="4" fillId="71" borderId="0" xfId="0" applyFont="1" applyFill="1" applyAlignment="1">
      <alignment horizontal="center"/>
    </xf>
    <xf numFmtId="0" fontId="14" fillId="71" borderId="0" xfId="0" applyFont="1" applyFill="1" applyAlignment="1">
      <alignment horizontal="center"/>
    </xf>
    <xf numFmtId="0" fontId="85" fillId="0" borderId="0" xfId="0" applyFont="1" applyAlignment="1">
      <alignment horizontal="center" vertical="center" wrapText="1"/>
    </xf>
    <xf numFmtId="0" fontId="149" fillId="0" borderId="0" xfId="0" applyFont="1" applyAlignment="1">
      <alignment horizontal="center"/>
    </xf>
    <xf numFmtId="9" fontId="0" fillId="0" borderId="0" xfId="2" applyFont="1" applyAlignment="1">
      <alignment horizontal="center" vertical="center"/>
    </xf>
    <xf numFmtId="0" fontId="13" fillId="71" borderId="19" xfId="0" applyFont="1" applyFill="1" applyBorder="1" applyAlignment="1">
      <alignment horizontal="center" vertical="center" wrapText="1"/>
    </xf>
    <xf numFmtId="0" fontId="0" fillId="0" borderId="19" xfId="0" applyBorder="1" applyAlignment="1">
      <alignment vertical="center" wrapText="1"/>
    </xf>
    <xf numFmtId="1" fontId="4" fillId="0" borderId="0" xfId="0" applyNumberFormat="1" applyFont="1"/>
    <xf numFmtId="164" fontId="4" fillId="0" borderId="0" xfId="1" applyNumberFormat="1" applyFont="1" applyAlignment="1">
      <alignment horizontal="center" vertical="center"/>
    </xf>
    <xf numFmtId="1" fontId="27" fillId="0" borderId="0" xfId="0" applyNumberFormat="1" applyFont="1" applyAlignment="1">
      <alignment horizontal="center" vertical="top" wrapText="1"/>
    </xf>
    <xf numFmtId="1" fontId="0" fillId="0" borderId="0" xfId="0" applyNumberFormat="1" applyAlignment="1">
      <alignment vertical="top"/>
    </xf>
    <xf numFmtId="1" fontId="0" fillId="0" borderId="0" xfId="0" applyNumberFormat="1" applyAlignment="1">
      <alignment horizontal="center" vertical="top"/>
    </xf>
    <xf numFmtId="0" fontId="0" fillId="0" borderId="10" xfId="0" applyBorder="1" applyAlignment="1">
      <alignment vertical="top"/>
    </xf>
    <xf numFmtId="1" fontId="0" fillId="0" borderId="10" xfId="0" applyNumberFormat="1" applyBorder="1" applyAlignment="1">
      <alignment vertical="top"/>
    </xf>
    <xf numFmtId="1" fontId="0" fillId="0" borderId="10" xfId="0" applyNumberFormat="1" applyBorder="1" applyAlignment="1">
      <alignment horizontal="center" vertical="top"/>
    </xf>
    <xf numFmtId="0" fontId="0" fillId="0" borderId="21" xfId="0" applyBorder="1" applyAlignment="1">
      <alignment vertical="top"/>
    </xf>
    <xf numFmtId="1" fontId="0" fillId="0" borderId="21" xfId="0" applyNumberFormat="1" applyBorder="1" applyAlignment="1">
      <alignment vertical="top" wrapText="1"/>
    </xf>
    <xf numFmtId="1" fontId="0" fillId="0" borderId="21" xfId="0" applyNumberFormat="1" applyBorder="1" applyAlignment="1">
      <alignment vertical="top"/>
    </xf>
    <xf numFmtId="1" fontId="0" fillId="0" borderId="21" xfId="0" applyNumberFormat="1" applyBorder="1" applyAlignment="1">
      <alignment horizontal="center" vertical="top"/>
    </xf>
    <xf numFmtId="0" fontId="0" fillId="0" borderId="2" xfId="0" applyBorder="1" applyAlignment="1">
      <alignment horizontal="left" vertical="top"/>
    </xf>
    <xf numFmtId="0" fontId="0" fillId="0" borderId="21" xfId="0" applyBorder="1" applyAlignment="1">
      <alignment vertical="top" wrapText="1"/>
    </xf>
    <xf numFmtId="1" fontId="0" fillId="0" borderId="10" xfId="0" applyNumberFormat="1" applyBorder="1" applyAlignment="1">
      <alignment vertical="top" wrapText="1"/>
    </xf>
    <xf numFmtId="0" fontId="152" fillId="27" borderId="0" xfId="0" applyFont="1" applyFill="1" applyAlignment="1">
      <alignment horizontal="center" textRotation="90"/>
    </xf>
    <xf numFmtId="0" fontId="33" fillId="27" borderId="0" xfId="0" applyFont="1" applyFill="1" applyAlignment="1">
      <alignment vertical="center" wrapText="1"/>
    </xf>
    <xf numFmtId="0" fontId="110" fillId="71" borderId="18" xfId="0" applyFont="1" applyFill="1" applyBorder="1" applyAlignment="1">
      <alignment vertical="center"/>
    </xf>
    <xf numFmtId="0" fontId="110" fillId="0" borderId="0" xfId="0" applyFont="1" applyAlignment="1">
      <alignment vertical="center" wrapText="1"/>
    </xf>
    <xf numFmtId="0" fontId="25" fillId="0" borderId="0" xfId="0" applyFont="1"/>
    <xf numFmtId="0" fontId="0" fillId="71" borderId="101" xfId="0" applyFill="1" applyBorder="1"/>
    <xf numFmtId="0" fontId="13" fillId="0" borderId="0" xfId="0" applyFont="1" applyAlignment="1">
      <alignment vertical="center"/>
    </xf>
    <xf numFmtId="0" fontId="143" fillId="71" borderId="0" xfId="0" applyFont="1" applyFill="1" applyAlignment="1">
      <alignment horizontal="center" vertical="center" wrapText="1"/>
    </xf>
    <xf numFmtId="0" fontId="14" fillId="0" borderId="28" xfId="0" applyFont="1" applyBorder="1" applyAlignment="1">
      <alignment vertical="center" wrapText="1"/>
    </xf>
    <xf numFmtId="0" fontId="14" fillId="0" borderId="28" xfId="0" applyFont="1" applyBorder="1" applyAlignment="1">
      <alignment horizontal="right" vertical="center" wrapText="1"/>
    </xf>
    <xf numFmtId="0" fontId="35" fillId="0" borderId="0" xfId="0" applyFont="1" applyAlignment="1">
      <alignment horizontal="center"/>
    </xf>
    <xf numFmtId="0" fontId="153" fillId="0" borderId="0" xfId="0" applyFont="1" applyAlignment="1">
      <alignment horizontal="center"/>
    </xf>
    <xf numFmtId="0" fontId="0" fillId="7" borderId="10" xfId="0" applyFill="1" applyBorder="1" applyAlignment="1">
      <alignment vertical="top"/>
    </xf>
    <xf numFmtId="1" fontId="0" fillId="7" borderId="10" xfId="0" applyNumberFormat="1" applyFill="1" applyBorder="1" applyAlignment="1">
      <alignment vertical="top" wrapText="1"/>
    </xf>
    <xf numFmtId="1" fontId="0" fillId="7" borderId="10" xfId="0" applyNumberFormat="1" applyFill="1" applyBorder="1" applyAlignment="1">
      <alignment vertical="top"/>
    </xf>
    <xf numFmtId="1" fontId="0" fillId="7" borderId="10" xfId="0" applyNumberFormat="1" applyFill="1" applyBorder="1" applyAlignment="1">
      <alignment horizontal="center" vertical="top"/>
    </xf>
    <xf numFmtId="0" fontId="0" fillId="7" borderId="0" xfId="0" applyFill="1" applyAlignment="1">
      <alignment vertical="top"/>
    </xf>
    <xf numFmtId="1" fontId="0" fillId="7" borderId="0" xfId="0" applyNumberFormat="1" applyFill="1" applyAlignment="1">
      <alignment vertical="top" wrapText="1"/>
    </xf>
    <xf numFmtId="1" fontId="0" fillId="7" borderId="0" xfId="0" applyNumberFormat="1" applyFill="1" applyAlignment="1">
      <alignment vertical="top"/>
    </xf>
    <xf numFmtId="1" fontId="0" fillId="7" borderId="0" xfId="0" applyNumberFormat="1" applyFill="1" applyAlignment="1">
      <alignment horizontal="center" vertical="top"/>
    </xf>
    <xf numFmtId="0" fontId="14" fillId="71" borderId="0" xfId="0" applyFont="1" applyFill="1" applyAlignment="1">
      <alignment wrapText="1"/>
    </xf>
    <xf numFmtId="0" fontId="131" fillId="0" borderId="0" xfId="0" applyFont="1" applyAlignment="1">
      <alignment horizontal="center"/>
    </xf>
    <xf numFmtId="0" fontId="0" fillId="55" borderId="0" xfId="0" applyFill="1" applyAlignment="1">
      <alignment horizontal="center" vertical="center" wrapText="1"/>
    </xf>
    <xf numFmtId="0" fontId="0" fillId="14" borderId="0" xfId="0" applyFill="1" applyAlignment="1">
      <alignment horizontal="center" vertical="center" wrapText="1"/>
    </xf>
    <xf numFmtId="0" fontId="19" fillId="77" borderId="0" xfId="0" applyFont="1" applyFill="1" applyAlignment="1">
      <alignment horizontal="center" vertical="center" wrapText="1"/>
    </xf>
    <xf numFmtId="0" fontId="19" fillId="77" borderId="0" xfId="0" applyFont="1" applyFill="1" applyAlignment="1">
      <alignment horizontal="right" vertical="center" wrapText="1"/>
    </xf>
    <xf numFmtId="1" fontId="10" fillId="0" borderId="0" xfId="0" applyNumberFormat="1" applyFont="1"/>
    <xf numFmtId="0" fontId="10" fillId="27" borderId="0" xfId="0" applyFont="1" applyFill="1"/>
    <xf numFmtId="0" fontId="7" fillId="0" borderId="114" xfId="0" applyFont="1" applyBorder="1" applyAlignment="1">
      <alignment horizontal="center"/>
    </xf>
    <xf numFmtId="0" fontId="10" fillId="0" borderId="114" xfId="0" applyFont="1" applyBorder="1"/>
    <xf numFmtId="0" fontId="10" fillId="27" borderId="114" xfId="0" applyFont="1" applyFill="1" applyBorder="1"/>
    <xf numFmtId="0" fontId="8" fillId="27" borderId="0" xfId="0" applyFont="1" applyFill="1" applyAlignment="1">
      <alignment horizontal="center"/>
    </xf>
    <xf numFmtId="164" fontId="0" fillId="0" borderId="0" xfId="1" applyNumberFormat="1" applyFont="1"/>
    <xf numFmtId="164" fontId="0" fillId="19" borderId="0" xfId="1" applyNumberFormat="1" applyFont="1" applyFill="1"/>
    <xf numFmtId="1" fontId="0" fillId="4" borderId="0" xfId="0" applyNumberFormat="1" applyFill="1"/>
    <xf numFmtId="0" fontId="0" fillId="10" borderId="0" xfId="0" applyFill="1" applyAlignment="1">
      <alignment horizontal="center"/>
    </xf>
    <xf numFmtId="1" fontId="0" fillId="10" borderId="0" xfId="0" applyNumberFormat="1" applyFill="1" applyAlignment="1">
      <alignment horizontal="center"/>
    </xf>
    <xf numFmtId="1" fontId="0" fillId="19" borderId="0" xfId="0" applyNumberFormat="1" applyFill="1" applyAlignment="1">
      <alignment horizontal="center"/>
    </xf>
    <xf numFmtId="1" fontId="0" fillId="4" borderId="0" xfId="0" applyNumberFormat="1" applyFill="1" applyAlignment="1">
      <alignment horizontal="center"/>
    </xf>
    <xf numFmtId="164" fontId="0" fillId="0" borderId="0" xfId="1" applyNumberFormat="1" applyFont="1" applyFill="1"/>
    <xf numFmtId="0" fontId="0" fillId="71" borderId="103" xfId="0" applyFill="1" applyBorder="1" applyAlignment="1">
      <alignment vertical="center" wrapText="1"/>
    </xf>
    <xf numFmtId="0" fontId="0" fillId="71" borderId="101" xfId="0" applyFill="1" applyBorder="1" applyAlignment="1">
      <alignment vertical="top" wrapText="1"/>
    </xf>
    <xf numFmtId="0" fontId="0" fillId="71" borderId="110" xfId="0" applyFill="1" applyBorder="1" applyAlignment="1">
      <alignment vertical="center" wrapText="1"/>
    </xf>
    <xf numFmtId="0" fontId="3" fillId="2" borderId="0" xfId="0" applyFont="1" applyFill="1" applyAlignment="1">
      <alignment vertical="center" wrapText="1"/>
    </xf>
    <xf numFmtId="0" fontId="12" fillId="52" borderId="78" xfId="0" applyFont="1" applyFill="1" applyBorder="1" applyAlignment="1">
      <alignment horizontal="center" vertical="center" wrapText="1"/>
    </xf>
    <xf numFmtId="0" fontId="0" fillId="0" borderId="9"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xf>
    <xf numFmtId="1" fontId="0" fillId="35" borderId="78" xfId="0" applyNumberFormat="1" applyFill="1" applyBorder="1" applyAlignment="1">
      <alignment horizontal="left" vertical="center" wrapText="1"/>
    </xf>
    <xf numFmtId="0" fontId="4" fillId="0" borderId="0" xfId="0" applyFont="1" applyAlignment="1">
      <alignment wrapText="1"/>
    </xf>
    <xf numFmtId="0" fontId="14" fillId="71" borderId="6" xfId="0" applyFont="1" applyFill="1" applyBorder="1" applyAlignment="1">
      <alignment vertical="center" wrapText="1"/>
    </xf>
    <xf numFmtId="0" fontId="14" fillId="13" borderId="19" xfId="0" applyFont="1" applyFill="1" applyBorder="1" applyAlignment="1">
      <alignment horizontal="center" vertical="center" wrapText="1"/>
    </xf>
    <xf numFmtId="0" fontId="0" fillId="13" borderId="19" xfId="0" applyFill="1" applyBorder="1" applyAlignment="1">
      <alignment vertical="center" wrapText="1"/>
    </xf>
    <xf numFmtId="0" fontId="0" fillId="13" borderId="19" xfId="0" applyFill="1" applyBorder="1"/>
    <xf numFmtId="1" fontId="2" fillId="0" borderId="0" xfId="0" applyNumberFormat="1" applyFont="1" applyAlignment="1">
      <alignment horizontal="center" vertical="center"/>
    </xf>
    <xf numFmtId="0" fontId="0" fillId="0" borderId="56" xfId="0" applyBorder="1" applyAlignment="1">
      <alignment vertical="center" wrapText="1"/>
    </xf>
    <xf numFmtId="0" fontId="0" fillId="71" borderId="0" xfId="0" applyFill="1" applyAlignment="1">
      <alignment vertical="center" wrapText="1"/>
    </xf>
    <xf numFmtId="0" fontId="0" fillId="13" borderId="112" xfId="0" applyFill="1" applyBorder="1"/>
    <xf numFmtId="0" fontId="0" fillId="13" borderId="101" xfId="0" applyFill="1" applyBorder="1"/>
    <xf numFmtId="0" fontId="0" fillId="13" borderId="102" xfId="0" applyFill="1" applyBorder="1"/>
    <xf numFmtId="0" fontId="0" fillId="13" borderId="101" xfId="0" applyFill="1" applyBorder="1" applyAlignment="1">
      <alignment horizontal="left" vertical="center" wrapText="1"/>
    </xf>
    <xf numFmtId="0" fontId="76" fillId="13" borderId="101" xfId="0" applyFont="1" applyFill="1" applyBorder="1" applyAlignment="1">
      <alignment horizontal="center" vertical="center" wrapText="1"/>
    </xf>
    <xf numFmtId="0" fontId="0" fillId="13" borderId="101" xfId="0" applyFill="1" applyBorder="1" applyAlignment="1">
      <alignment horizontal="center" vertical="center" wrapText="1"/>
    </xf>
    <xf numFmtId="0" fontId="0" fillId="13" borderId="91" xfId="0" applyFill="1" applyBorder="1" applyAlignment="1">
      <alignment vertical="center"/>
    </xf>
    <xf numFmtId="0" fontId="0" fillId="13" borderId="111" xfId="0" applyFill="1" applyBorder="1" applyAlignment="1">
      <alignment vertical="center"/>
    </xf>
    <xf numFmtId="0" fontId="30" fillId="4" borderId="0" xfId="0" applyFont="1" applyFill="1" applyAlignment="1">
      <alignment wrapText="1"/>
    </xf>
    <xf numFmtId="0" fontId="30" fillId="15" borderId="0" xfId="0" applyFont="1" applyFill="1" applyAlignment="1">
      <alignment wrapText="1"/>
    </xf>
    <xf numFmtId="0" fontId="0" fillId="7" borderId="115" xfId="0" applyFill="1" applyBorder="1" applyAlignment="1">
      <alignment horizontal="center" vertical="center"/>
    </xf>
    <xf numFmtId="0" fontId="0" fillId="7" borderId="116" xfId="0" applyFill="1" applyBorder="1" applyAlignment="1">
      <alignment horizontal="center" vertical="center"/>
    </xf>
    <xf numFmtId="0" fontId="0" fillId="7" borderId="117" xfId="0" applyFill="1" applyBorder="1" applyAlignment="1">
      <alignment horizontal="center" vertical="center"/>
    </xf>
    <xf numFmtId="0" fontId="0" fillId="7" borderId="118" xfId="0" applyFill="1" applyBorder="1" applyAlignment="1">
      <alignment horizontal="center" vertical="center"/>
    </xf>
    <xf numFmtId="0" fontId="0" fillId="7" borderId="119" xfId="0" applyFill="1" applyBorder="1" applyAlignment="1">
      <alignment horizontal="center" vertical="center"/>
    </xf>
    <xf numFmtId="0" fontId="0" fillId="7" borderId="120" xfId="0" applyFill="1" applyBorder="1" applyAlignment="1">
      <alignment horizontal="center" vertical="center"/>
    </xf>
    <xf numFmtId="0" fontId="2" fillId="0" borderId="0" xfId="0" applyFont="1" applyAlignment="1">
      <alignment vertical="center"/>
    </xf>
    <xf numFmtId="0" fontId="144" fillId="0" borderId="0" xfId="0" applyFont="1" applyAlignment="1">
      <alignment vertical="center" wrapText="1"/>
    </xf>
    <xf numFmtId="0" fontId="2" fillId="0" borderId="85" xfId="0" applyFont="1" applyBorder="1" applyAlignment="1">
      <alignment horizontal="center" vertical="center"/>
    </xf>
    <xf numFmtId="0" fontId="0" fillId="13" borderId="112" xfId="0" applyFill="1" applyBorder="1" applyAlignment="1">
      <alignment vertical="center"/>
    </xf>
    <xf numFmtId="0" fontId="0" fillId="13" borderId="121" xfId="0" applyFill="1" applyBorder="1" applyAlignment="1">
      <alignment vertical="center"/>
    </xf>
    <xf numFmtId="0" fontId="0" fillId="71" borderId="81" xfId="0" applyFill="1" applyBorder="1" applyAlignment="1">
      <alignment horizontal="center" vertical="center" wrapText="1"/>
    </xf>
    <xf numFmtId="0" fontId="0" fillId="71" borderId="83" xfId="0" applyFill="1" applyBorder="1" applyAlignment="1">
      <alignment horizontal="center" vertical="center" wrapText="1"/>
    </xf>
    <xf numFmtId="0" fontId="0" fillId="71" borderId="32" xfId="0" applyFill="1" applyBorder="1" applyAlignment="1">
      <alignment horizontal="center" vertical="center" wrapText="1"/>
    </xf>
    <xf numFmtId="0" fontId="127" fillId="0" borderId="0" xfId="0" applyFont="1" applyAlignment="1">
      <alignment horizontal="left"/>
    </xf>
    <xf numFmtId="0" fontId="6" fillId="0" borderId="0" xfId="0" applyFont="1" applyAlignment="1">
      <alignment horizontal="left"/>
    </xf>
    <xf numFmtId="0" fontId="10" fillId="0" borderId="0" xfId="0" applyFont="1" applyAlignment="1">
      <alignment horizontal="left" vertical="top"/>
    </xf>
    <xf numFmtId="0" fontId="14" fillId="0" borderId="0" xfId="0" applyFont="1" applyAlignment="1">
      <alignment wrapText="1"/>
    </xf>
    <xf numFmtId="0" fontId="13" fillId="0" borderId="0" xfId="0" applyFont="1" applyAlignment="1">
      <alignment wrapText="1"/>
    </xf>
    <xf numFmtId="0" fontId="152" fillId="27" borderId="0" xfId="0" applyFont="1" applyFill="1" applyAlignment="1">
      <alignment horizontal="center"/>
    </xf>
    <xf numFmtId="0" fontId="4" fillId="0" borderId="0" xfId="0" applyFont="1" applyAlignment="1">
      <alignment vertical="center"/>
    </xf>
    <xf numFmtId="0" fontId="150" fillId="0" borderId="0" xfId="0" applyFont="1" applyAlignment="1">
      <alignment vertical="center"/>
    </xf>
    <xf numFmtId="0" fontId="150" fillId="0" borderId="0" xfId="0" applyFont="1"/>
    <xf numFmtId="0" fontId="39" fillId="3" borderId="0" xfId="0" applyFont="1" applyFill="1" applyAlignment="1">
      <alignment horizontal="left"/>
    </xf>
    <xf numFmtId="0" fontId="39" fillId="3" borderId="56" xfId="0" applyFont="1" applyFill="1" applyBorder="1" applyAlignment="1">
      <alignment horizontal="left"/>
    </xf>
    <xf numFmtId="0" fontId="2" fillId="0" borderId="0" xfId="0" applyFont="1" applyAlignment="1">
      <alignment horizontal="center" vertical="top" wrapText="1"/>
    </xf>
    <xf numFmtId="0" fontId="6" fillId="71" borderId="0" xfId="0" applyFont="1" applyFill="1"/>
    <xf numFmtId="1" fontId="2" fillId="18" borderId="0" xfId="0" applyNumberFormat="1" applyFont="1" applyFill="1" applyAlignment="1">
      <alignment horizontal="left"/>
    </xf>
    <xf numFmtId="0" fontId="26" fillId="0" borderId="0" xfId="0" applyFont="1"/>
    <xf numFmtId="1" fontId="0" fillId="62" borderId="0" xfId="0" applyNumberFormat="1" applyFill="1" applyAlignment="1">
      <alignment horizontal="center"/>
    </xf>
    <xf numFmtId="0" fontId="7" fillId="0" borderId="56" xfId="0" applyFont="1" applyBorder="1" applyAlignment="1">
      <alignment horizontal="center"/>
    </xf>
    <xf numFmtId="1" fontId="0" fillId="0" borderId="56" xfId="0" applyNumberFormat="1" applyBorder="1" applyAlignment="1">
      <alignment horizontal="center" vertical="center"/>
    </xf>
    <xf numFmtId="1" fontId="0" fillId="27" borderId="56" xfId="0" applyNumberFormat="1" applyFill="1" applyBorder="1" applyAlignment="1">
      <alignment horizontal="center" vertical="center"/>
    </xf>
    <xf numFmtId="0" fontId="139" fillId="0" borderId="0" xfId="0" applyFont="1" applyAlignment="1">
      <alignment horizontal="left"/>
    </xf>
    <xf numFmtId="0" fontId="110" fillId="71" borderId="13" xfId="0" applyFont="1" applyFill="1" applyBorder="1" applyAlignment="1">
      <alignment vertical="center" wrapText="1"/>
    </xf>
    <xf numFmtId="0" fontId="0" fillId="71" borderId="0" xfId="0" applyFill="1" applyAlignment="1">
      <alignment vertical="top" wrapText="1"/>
    </xf>
    <xf numFmtId="0" fontId="19" fillId="0" borderId="0" xfId="0" applyFont="1" applyAlignment="1">
      <alignment horizontal="right" vertical="center" wrapText="1"/>
    </xf>
    <xf numFmtId="0" fontId="10" fillId="71" borderId="0" xfId="0" applyFont="1" applyFill="1"/>
    <xf numFmtId="0" fontId="0" fillId="27" borderId="0" xfId="0" applyFill="1" applyAlignment="1">
      <alignment horizontal="right" vertical="center"/>
    </xf>
    <xf numFmtId="0" fontId="19" fillId="0" borderId="0" xfId="0" applyFont="1"/>
    <xf numFmtId="49" fontId="19" fillId="24" borderId="0" xfId="0" applyNumberFormat="1" applyFont="1" applyFill="1" applyAlignment="1">
      <alignment horizontal="right" vertical="center" wrapText="1"/>
    </xf>
    <xf numFmtId="1" fontId="0" fillId="0" borderId="0" xfId="0" applyNumberFormat="1" applyAlignment="1">
      <alignment horizontal="left" vertical="center" wrapText="1"/>
    </xf>
    <xf numFmtId="0" fontId="7" fillId="0" borderId="0" xfId="0" applyFont="1" applyAlignment="1">
      <alignment horizontal="right" vertical="center" wrapText="1"/>
    </xf>
    <xf numFmtId="0" fontId="24" fillId="33" borderId="36" xfId="0" applyFont="1" applyFill="1" applyBorder="1" applyAlignment="1">
      <alignment vertical="center" wrapText="1"/>
    </xf>
    <xf numFmtId="0" fontId="24" fillId="33" borderId="0" xfId="0" applyFont="1" applyFill="1" applyAlignment="1">
      <alignment vertical="center" wrapText="1"/>
    </xf>
    <xf numFmtId="0" fontId="7" fillId="71" borderId="0" xfId="0" applyFont="1" applyFill="1" applyAlignment="1">
      <alignment vertical="center" wrapText="1"/>
    </xf>
    <xf numFmtId="0" fontId="150" fillId="0" borderId="0" xfId="0" applyFont="1" applyAlignment="1">
      <alignment horizontal="center"/>
    </xf>
    <xf numFmtId="9" fontId="0" fillId="0" borderId="0" xfId="2" applyFont="1" applyAlignment="1">
      <alignment horizontal="center"/>
    </xf>
    <xf numFmtId="9" fontId="0" fillId="27" borderId="10" xfId="2" applyFont="1" applyFill="1" applyBorder="1" applyAlignment="1">
      <alignment horizontal="center"/>
    </xf>
    <xf numFmtId="0" fontId="154" fillId="0" borderId="0" xfId="0" applyFont="1" applyAlignment="1">
      <alignment vertical="center"/>
    </xf>
    <xf numFmtId="0" fontId="5" fillId="71" borderId="0" xfId="0" applyFont="1" applyFill="1"/>
    <xf numFmtId="0" fontId="123" fillId="0" borderId="0" xfId="0" applyFont="1"/>
    <xf numFmtId="0" fontId="0" fillId="4" borderId="30" xfId="0" applyFill="1" applyBorder="1" applyAlignment="1">
      <alignment horizontal="center" vertical="center" wrapText="1"/>
    </xf>
    <xf numFmtId="0" fontId="0" fillId="4" borderId="5" xfId="0" applyFill="1" applyBorder="1" applyAlignment="1">
      <alignment vertical="center" wrapText="1"/>
    </xf>
    <xf numFmtId="0" fontId="0" fillId="71" borderId="101" xfId="0" applyFill="1" applyBorder="1" applyAlignment="1">
      <alignment horizontal="center" vertical="center" wrapText="1"/>
    </xf>
    <xf numFmtId="0" fontId="0" fillId="9" borderId="30" xfId="0" applyFill="1" applyBorder="1" applyAlignment="1">
      <alignment horizontal="left" vertical="center" wrapText="1"/>
    </xf>
    <xf numFmtId="0" fontId="0" fillId="0" borderId="84" xfId="0" applyBorder="1" applyAlignment="1">
      <alignment vertical="center" wrapText="1"/>
    </xf>
    <xf numFmtId="0" fontId="154" fillId="71" borderId="0" xfId="0" applyFont="1" applyFill="1"/>
    <xf numFmtId="0" fontId="2" fillId="33" borderId="0" xfId="0" applyFont="1" applyFill="1" applyAlignment="1">
      <alignment vertical="center" wrapText="1"/>
    </xf>
    <xf numFmtId="0" fontId="4" fillId="0" borderId="0" xfId="0" applyFont="1" applyAlignment="1">
      <alignment vertical="top"/>
    </xf>
    <xf numFmtId="0" fontId="110" fillId="71" borderId="0" xfId="0" applyFont="1" applyFill="1" applyAlignment="1">
      <alignment horizontal="center" vertical="center" wrapText="1"/>
    </xf>
    <xf numFmtId="0" fontId="8" fillId="6" borderId="0" xfId="0" applyFont="1" applyFill="1" applyAlignment="1">
      <alignment horizontal="center" vertical="center" wrapText="1"/>
    </xf>
    <xf numFmtId="0" fontId="8" fillId="6" borderId="0" xfId="0" applyFont="1" applyFill="1" applyAlignment="1">
      <alignment vertical="center" wrapText="1"/>
    </xf>
    <xf numFmtId="0" fontId="13" fillId="71" borderId="0" xfId="0" applyFont="1" applyFill="1" applyAlignment="1">
      <alignment horizontal="center" vertical="center" wrapText="1"/>
    </xf>
    <xf numFmtId="0" fontId="6" fillId="0" borderId="0" xfId="0" applyFont="1" applyAlignment="1">
      <alignment vertical="center"/>
    </xf>
    <xf numFmtId="0" fontId="0" fillId="0" borderId="36" xfId="0" applyBorder="1" applyAlignment="1">
      <alignment horizontal="center" vertical="center" wrapText="1"/>
    </xf>
    <xf numFmtId="0" fontId="0" fillId="0" borderId="36" xfId="0" applyBorder="1" applyAlignment="1">
      <alignment horizontal="left" vertical="center" wrapText="1"/>
    </xf>
    <xf numFmtId="0" fontId="13" fillId="71" borderId="79" xfId="0" applyFont="1" applyFill="1" applyBorder="1" applyAlignment="1">
      <alignment horizontal="center" vertical="center" wrapText="1"/>
    </xf>
    <xf numFmtId="0" fontId="13" fillId="71" borderId="21" xfId="0" applyFont="1" applyFill="1" applyBorder="1" applyAlignment="1">
      <alignment horizontal="center" vertical="center" wrapText="1"/>
    </xf>
    <xf numFmtId="0" fontId="13" fillId="0" borderId="19" xfId="0" applyFont="1" applyBorder="1" applyAlignment="1">
      <alignment horizontal="center" vertical="center" wrapText="1"/>
    </xf>
    <xf numFmtId="0" fontId="13" fillId="0" borderId="6" xfId="0" applyFont="1" applyBorder="1" applyAlignment="1">
      <alignment horizontal="center" vertical="center" wrapText="1"/>
    </xf>
    <xf numFmtId="0" fontId="0" fillId="71" borderId="101" xfId="0" applyFill="1" applyBorder="1" applyAlignment="1">
      <alignment vertical="center"/>
    </xf>
    <xf numFmtId="0" fontId="0" fillId="0" borderId="7" xfId="0" applyBorder="1" applyAlignment="1">
      <alignment vertical="center" wrapText="1"/>
    </xf>
    <xf numFmtId="0" fontId="7" fillId="0" borderId="0" xfId="0" applyFont="1" applyAlignment="1">
      <alignment horizontal="left" vertical="center"/>
    </xf>
    <xf numFmtId="0" fontId="0" fillId="22" borderId="0" xfId="0" applyFill="1" applyAlignment="1">
      <alignment vertical="center" wrapText="1"/>
    </xf>
    <xf numFmtId="0" fontId="0" fillId="7" borderId="20" xfId="0" applyFill="1" applyBorder="1" applyAlignment="1">
      <alignment horizontal="center" vertical="center"/>
    </xf>
    <xf numFmtId="0" fontId="0" fillId="7" borderId="10" xfId="0" applyFill="1" applyBorder="1" applyAlignment="1">
      <alignment horizontal="center" vertical="center"/>
    </xf>
    <xf numFmtId="0" fontId="0" fillId="7" borderId="14" xfId="0" applyFill="1" applyBorder="1" applyAlignment="1">
      <alignment horizontal="center" vertical="center"/>
    </xf>
    <xf numFmtId="0" fontId="0" fillId="0" borderId="36" xfId="0" applyBorder="1" applyAlignment="1">
      <alignment horizontal="center"/>
    </xf>
    <xf numFmtId="0" fontId="0" fillId="71" borderId="0" xfId="0" applyFill="1" applyAlignment="1">
      <alignment horizontal="left" vertical="center" wrapText="1"/>
    </xf>
    <xf numFmtId="0" fontId="0" fillId="13" borderId="0" xfId="0" applyFill="1" applyAlignment="1">
      <alignment vertical="center" wrapText="1"/>
    </xf>
    <xf numFmtId="0" fontId="0" fillId="33" borderId="0" xfId="0" applyFill="1" applyAlignment="1">
      <alignment wrapText="1"/>
    </xf>
    <xf numFmtId="0" fontId="24" fillId="33" borderId="53" xfId="0" applyFont="1" applyFill="1" applyBorder="1" applyAlignment="1">
      <alignment horizontal="center" vertical="center" wrapText="1"/>
    </xf>
    <xf numFmtId="0" fontId="24" fillId="33" borderId="55" xfId="0" applyFont="1" applyFill="1" applyBorder="1" applyAlignment="1">
      <alignment horizontal="center" vertical="center" wrapText="1"/>
    </xf>
    <xf numFmtId="0" fontId="150" fillId="76" borderId="36" xfId="0" applyFont="1" applyFill="1" applyBorder="1" applyAlignment="1">
      <alignment horizontal="center"/>
    </xf>
    <xf numFmtId="0" fontId="150" fillId="76" borderId="56" xfId="0" applyFont="1" applyFill="1" applyBorder="1" applyAlignment="1">
      <alignment horizontal="center"/>
    </xf>
    <xf numFmtId="0" fontId="7" fillId="0" borderId="36" xfId="0" applyFont="1" applyBorder="1" applyAlignment="1">
      <alignment horizontal="center" vertical="center" wrapText="1"/>
    </xf>
    <xf numFmtId="0" fontId="7" fillId="71" borderId="36" xfId="0" applyFont="1" applyFill="1" applyBorder="1" applyAlignment="1">
      <alignment vertical="center" wrapText="1"/>
    </xf>
    <xf numFmtId="0" fontId="7" fillId="71" borderId="56" xfId="0" applyFont="1" applyFill="1" applyBorder="1" applyAlignment="1">
      <alignment vertical="center" wrapText="1"/>
    </xf>
    <xf numFmtId="0" fontId="0" fillId="0" borderId="36" xfId="0" applyBorder="1" applyAlignment="1">
      <alignment horizontal="center" wrapText="1"/>
    </xf>
    <xf numFmtId="0" fontId="0" fillId="0" borderId="56" xfId="0" applyBorder="1" applyAlignment="1">
      <alignment horizontal="center" wrapText="1"/>
    </xf>
    <xf numFmtId="0" fontId="0" fillId="71" borderId="36" xfId="0" applyFill="1" applyBorder="1" applyAlignment="1">
      <alignment horizontal="center" wrapText="1"/>
    </xf>
    <xf numFmtId="0" fontId="0" fillId="71" borderId="56" xfId="0" applyFill="1" applyBorder="1" applyAlignment="1">
      <alignment horizontal="center" wrapText="1"/>
    </xf>
    <xf numFmtId="0" fontId="0" fillId="0" borderId="36" xfId="0" applyBorder="1" applyAlignment="1">
      <alignment wrapText="1"/>
    </xf>
    <xf numFmtId="0" fontId="0" fillId="0" borderId="56" xfId="0" applyBorder="1" applyAlignment="1">
      <alignment wrapText="1"/>
    </xf>
    <xf numFmtId="0" fontId="143" fillId="0" borderId="36" xfId="0" applyFont="1" applyBorder="1" applyAlignment="1">
      <alignment horizontal="center" vertical="center" wrapText="1"/>
    </xf>
    <xf numFmtId="0" fontId="143" fillId="0" borderId="56" xfId="0" applyFont="1" applyBorder="1" applyAlignment="1">
      <alignment horizontal="center" vertical="center" wrapText="1"/>
    </xf>
    <xf numFmtId="0" fontId="0" fillId="71" borderId="62" xfId="0" applyFill="1" applyBorder="1" applyAlignment="1">
      <alignment horizontal="center" vertical="center" wrapText="1"/>
    </xf>
    <xf numFmtId="0" fontId="0" fillId="71" borderId="63" xfId="0" applyFill="1" applyBorder="1" applyAlignment="1">
      <alignment horizontal="center" vertical="center" wrapText="1"/>
    </xf>
    <xf numFmtId="0" fontId="0" fillId="0" borderId="53" xfId="0" applyBorder="1" applyAlignment="1">
      <alignment horizontal="center"/>
    </xf>
    <xf numFmtId="0" fontId="2" fillId="0" borderId="36" xfId="0" applyFont="1" applyBorder="1" applyAlignment="1">
      <alignment horizontal="center" vertical="center"/>
    </xf>
    <xf numFmtId="0" fontId="2" fillId="0" borderId="56" xfId="0" applyFont="1" applyBorder="1" applyAlignment="1">
      <alignment vertical="center"/>
    </xf>
    <xf numFmtId="0" fontId="0" fillId="0" borderId="62" xfId="0" applyBorder="1" applyAlignment="1">
      <alignment horizontal="center"/>
    </xf>
    <xf numFmtId="0" fontId="13" fillId="0" borderId="0" xfId="0" applyFont="1" applyAlignment="1">
      <alignment horizontal="center" wrapText="1"/>
    </xf>
    <xf numFmtId="0" fontId="0" fillId="0" borderId="0" xfId="0" applyAlignment="1">
      <alignment horizontal="right" vertical="top"/>
    </xf>
    <xf numFmtId="0" fontId="154" fillId="0" borderId="0" xfId="0" applyFont="1"/>
    <xf numFmtId="0" fontId="156" fillId="0" borderId="0" xfId="0" applyFont="1"/>
    <xf numFmtId="1" fontId="2" fillId="18" borderId="0" xfId="0" applyNumberFormat="1" applyFont="1" applyFill="1" applyAlignment="1">
      <alignment horizontal="left" vertical="center"/>
    </xf>
    <xf numFmtId="0" fontId="2" fillId="0" borderId="0" xfId="0" applyFont="1" applyAlignment="1">
      <alignment horizontal="center" wrapText="1"/>
    </xf>
    <xf numFmtId="1" fontId="0" fillId="0" borderId="11" xfId="0" applyNumberFormat="1" applyBorder="1" applyAlignment="1">
      <alignment horizontal="left"/>
    </xf>
    <xf numFmtId="0" fontId="0" fillId="0" borderId="11" xfId="0" applyBorder="1" applyAlignment="1">
      <alignment horizontal="left"/>
    </xf>
    <xf numFmtId="0" fontId="0" fillId="7" borderId="11" xfId="0" applyFill="1" applyBorder="1" applyAlignment="1">
      <alignment horizontal="left" vertical="center"/>
    </xf>
    <xf numFmtId="0" fontId="0" fillId="7" borderId="0" xfId="0" applyFill="1" applyAlignment="1">
      <alignment horizontal="left" vertical="center"/>
    </xf>
    <xf numFmtId="1" fontId="2" fillId="7" borderId="0" xfId="0" applyNumberFormat="1" applyFont="1" applyFill="1" applyAlignment="1">
      <alignment horizontal="left" vertical="center"/>
    </xf>
    <xf numFmtId="0" fontId="33" fillId="0" borderId="0" xfId="0" applyFont="1" applyAlignment="1">
      <alignment vertical="center" wrapText="1"/>
    </xf>
    <xf numFmtId="0" fontId="140" fillId="0" borderId="0" xfId="0" applyFont="1" applyAlignment="1">
      <alignment horizontal="center"/>
    </xf>
    <xf numFmtId="0" fontId="0" fillId="0" borderId="0" xfId="0" quotePrefix="1" applyAlignment="1">
      <alignment horizontal="center"/>
    </xf>
    <xf numFmtId="1" fontId="0" fillId="16" borderId="0" xfId="0" applyNumberFormat="1" applyFill="1" applyAlignment="1">
      <alignment horizontal="center"/>
    </xf>
    <xf numFmtId="1" fontId="24" fillId="0" borderId="0" xfId="0" applyNumberFormat="1" applyFont="1" applyAlignment="1">
      <alignment horizontal="center" wrapText="1"/>
    </xf>
    <xf numFmtId="0" fontId="127" fillId="0" borderId="19" xfId="0" applyFont="1" applyBorder="1" applyAlignment="1">
      <alignment wrapText="1"/>
    </xf>
    <xf numFmtId="0" fontId="127" fillId="0" borderId="0" xfId="0" applyFont="1" applyAlignment="1">
      <alignment wrapText="1"/>
    </xf>
    <xf numFmtId="0" fontId="10" fillId="0" borderId="19" xfId="0" applyFont="1" applyBorder="1" applyAlignment="1">
      <alignment horizontal="left"/>
    </xf>
    <xf numFmtId="0" fontId="27" fillId="6" borderId="19" xfId="0" applyFont="1" applyFill="1" applyBorder="1" applyAlignment="1">
      <alignment horizontal="center" vertical="center" wrapText="1"/>
    </xf>
    <xf numFmtId="0" fontId="27" fillId="6" borderId="6" xfId="0" applyFont="1" applyFill="1" applyBorder="1" applyAlignment="1">
      <alignment horizontal="center" vertical="center" wrapText="1"/>
    </xf>
    <xf numFmtId="0" fontId="0" fillId="62" borderId="0" xfId="0" applyFill="1" applyAlignment="1">
      <alignment vertical="center" wrapText="1"/>
    </xf>
    <xf numFmtId="0" fontId="0" fillId="7" borderId="0" xfId="0" applyFill="1" applyAlignment="1">
      <alignment horizontal="left" wrapText="1"/>
    </xf>
    <xf numFmtId="0" fontId="0" fillId="14" borderId="0" xfId="0" applyFill="1" applyAlignment="1">
      <alignment vertical="center" wrapText="1"/>
    </xf>
    <xf numFmtId="0" fontId="0" fillId="14" borderId="0" xfId="0" applyFill="1" applyAlignment="1">
      <alignment vertical="top"/>
    </xf>
    <xf numFmtId="0" fontId="0" fillId="33" borderId="2" xfId="0" applyFill="1" applyBorder="1" applyAlignment="1">
      <alignment vertical="center" wrapText="1"/>
    </xf>
    <xf numFmtId="0" fontId="0" fillId="14" borderId="0" xfId="0" applyFill="1" applyAlignment="1">
      <alignment wrapText="1"/>
    </xf>
    <xf numFmtId="0" fontId="0" fillId="7" borderId="0" xfId="0" applyFill="1" applyAlignment="1">
      <alignment wrapText="1"/>
    </xf>
    <xf numFmtId="1" fontId="0" fillId="16" borderId="0" xfId="0" applyNumberFormat="1" applyFill="1" applyAlignment="1">
      <alignment horizontal="center" vertical="top"/>
    </xf>
    <xf numFmtId="0" fontId="82" fillId="2" borderId="0" xfId="0" applyFont="1" applyFill="1"/>
    <xf numFmtId="0" fontId="157" fillId="78" borderId="0" xfId="0" applyFont="1" applyFill="1"/>
    <xf numFmtId="0" fontId="14" fillId="71" borderId="0" xfId="0" applyFont="1" applyFill="1" applyAlignment="1">
      <alignment vertical="top"/>
    </xf>
    <xf numFmtId="0" fontId="0" fillId="71" borderId="6" xfId="0" applyFill="1" applyBorder="1" applyAlignment="1">
      <alignment horizontal="left" vertical="center" wrapText="1"/>
    </xf>
    <xf numFmtId="0" fontId="13" fillId="71" borderId="6" xfId="0" applyFont="1" applyFill="1" applyBorder="1" applyAlignment="1">
      <alignment horizontal="center" vertical="top" wrapText="1"/>
    </xf>
    <xf numFmtId="0" fontId="13" fillId="71" borderId="44" xfId="0" applyFont="1" applyFill="1" applyBorder="1" applyAlignment="1">
      <alignment horizontal="center" vertical="top" wrapText="1"/>
    </xf>
    <xf numFmtId="0" fontId="0" fillId="4" borderId="0" xfId="0" applyFill="1" applyAlignment="1">
      <alignment vertical="center" wrapText="1"/>
    </xf>
    <xf numFmtId="0" fontId="0" fillId="71" borderId="0" xfId="0" applyFill="1" applyAlignment="1">
      <alignment horizontal="left" vertical="top" wrapText="1"/>
    </xf>
    <xf numFmtId="0" fontId="0" fillId="71" borderId="101" xfId="0" applyFill="1" applyBorder="1" applyAlignment="1">
      <alignment wrapText="1"/>
    </xf>
    <xf numFmtId="1" fontId="0" fillId="71" borderId="26" xfId="0" applyNumberFormat="1" applyFill="1" applyBorder="1" applyAlignment="1">
      <alignment wrapText="1"/>
    </xf>
    <xf numFmtId="1" fontId="0" fillId="71" borderId="101" xfId="0" applyNumberFormat="1" applyFill="1" applyBorder="1" applyAlignment="1">
      <alignment wrapText="1"/>
    </xf>
    <xf numFmtId="0" fontId="0" fillId="0" borderId="0" xfId="0" applyAlignment="1">
      <alignment horizontal="right" wrapText="1"/>
    </xf>
    <xf numFmtId="0" fontId="0" fillId="71" borderId="101" xfId="0" applyFill="1" applyBorder="1" applyAlignment="1">
      <alignment vertical="center" wrapText="1"/>
    </xf>
    <xf numFmtId="1" fontId="0" fillId="71" borderId="101" xfId="0" applyNumberFormat="1" applyFill="1" applyBorder="1" applyAlignment="1">
      <alignment vertical="center" wrapText="1"/>
    </xf>
    <xf numFmtId="1" fontId="0" fillId="71" borderId="26" xfId="0" applyNumberFormat="1" applyFill="1" applyBorder="1" applyAlignment="1">
      <alignment vertical="center" wrapText="1"/>
    </xf>
    <xf numFmtId="0" fontId="13" fillId="71" borderId="21" xfId="0" applyFont="1" applyFill="1" applyBorder="1" applyAlignment="1">
      <alignment horizontal="center" vertical="top" wrapText="1"/>
    </xf>
    <xf numFmtId="0" fontId="0" fillId="71" borderId="101" xfId="0" applyFill="1" applyBorder="1" applyAlignment="1">
      <alignment horizontal="left" vertical="center" wrapText="1"/>
    </xf>
    <xf numFmtId="0" fontId="0" fillId="71" borderId="101" xfId="0" applyFill="1" applyBorder="1" applyAlignment="1">
      <alignment horizontal="left" wrapText="1"/>
    </xf>
    <xf numFmtId="0" fontId="0" fillId="71" borderId="26" xfId="0" applyFill="1" applyBorder="1" applyAlignment="1">
      <alignment horizontal="left" wrapText="1"/>
    </xf>
    <xf numFmtId="0" fontId="19" fillId="76" borderId="101" xfId="0" applyFont="1" applyFill="1" applyBorder="1" applyAlignment="1">
      <alignment vertical="center" wrapText="1"/>
    </xf>
    <xf numFmtId="0" fontId="0" fillId="33" borderId="0" xfId="0" applyFill="1" applyAlignment="1">
      <alignment horizontal="left" vertical="center" wrapText="1"/>
    </xf>
    <xf numFmtId="1" fontId="28" fillId="34" borderId="0" xfId="0" applyNumberFormat="1" applyFont="1" applyFill="1" applyAlignment="1">
      <alignment horizontal="center" vertical="center" wrapText="1"/>
    </xf>
    <xf numFmtId="0" fontId="27" fillId="34" borderId="6" xfId="0" applyFont="1" applyFill="1" applyBorder="1" applyAlignment="1">
      <alignment horizontal="center" vertical="center" wrapText="1"/>
    </xf>
    <xf numFmtId="1" fontId="0" fillId="34" borderId="0" xfId="0" applyNumberFormat="1" applyFill="1" applyAlignment="1">
      <alignment horizontal="center" wrapText="1"/>
    </xf>
    <xf numFmtId="1" fontId="0" fillId="34" borderId="16" xfId="0" applyNumberFormat="1" applyFill="1" applyBorder="1" applyAlignment="1">
      <alignment horizontal="center" wrapText="1"/>
    </xf>
    <xf numFmtId="0" fontId="0" fillId="0" borderId="101" xfId="0" applyBorder="1" applyAlignment="1">
      <alignment horizontal="center" vertical="center" wrapText="1"/>
    </xf>
    <xf numFmtId="0" fontId="158" fillId="0" borderId="0" xfId="0" applyFont="1" applyAlignment="1">
      <alignment wrapText="1"/>
    </xf>
    <xf numFmtId="0" fontId="155" fillId="79" borderId="0" xfId="0" applyFont="1" applyFill="1" applyAlignment="1">
      <alignment vertical="center" wrapText="1"/>
    </xf>
    <xf numFmtId="0" fontId="155" fillId="0" borderId="0" xfId="0" applyFont="1" applyAlignment="1">
      <alignment vertical="center" wrapText="1"/>
    </xf>
    <xf numFmtId="1" fontId="0" fillId="34" borderId="0" xfId="0" applyNumberFormat="1" applyFill="1" applyAlignment="1">
      <alignment vertical="top" wrapText="1"/>
    </xf>
    <xf numFmtId="0" fontId="0" fillId="9" borderId="21" xfId="0" applyFill="1" applyBorder="1" applyAlignment="1">
      <alignment vertical="top"/>
    </xf>
    <xf numFmtId="0" fontId="0" fillId="9" borderId="0" xfId="0" applyFill="1" applyAlignment="1">
      <alignment vertical="top"/>
    </xf>
    <xf numFmtId="0" fontId="0" fillId="4" borderId="0" xfId="0" applyFill="1" applyAlignment="1">
      <alignment vertical="top"/>
    </xf>
    <xf numFmtId="0" fontId="0" fillId="4" borderId="10" xfId="0" applyFill="1" applyBorder="1" applyAlignment="1">
      <alignment vertical="top"/>
    </xf>
    <xf numFmtId="0" fontId="0" fillId="9" borderId="10" xfId="0" applyFill="1" applyBorder="1" applyAlignment="1">
      <alignment vertical="top"/>
    </xf>
    <xf numFmtId="0" fontId="26" fillId="0" borderId="0" xfId="0" applyFont="1" applyAlignment="1">
      <alignment horizontal="center" wrapText="1"/>
    </xf>
    <xf numFmtId="0" fontId="0" fillId="71" borderId="42" xfId="0" applyFill="1" applyBorder="1" applyAlignment="1">
      <alignment horizontal="left" vertical="center" wrapText="1"/>
    </xf>
    <xf numFmtId="0" fontId="0" fillId="71" borderId="42" xfId="0" applyFill="1" applyBorder="1" applyAlignment="1">
      <alignment vertical="center" wrapText="1"/>
    </xf>
    <xf numFmtId="0" fontId="5" fillId="0" borderId="0" xfId="0" applyFont="1" applyAlignment="1">
      <alignment wrapText="1"/>
    </xf>
    <xf numFmtId="0" fontId="35" fillId="0" borderId="0" xfId="0" applyFont="1" applyAlignment="1">
      <alignment horizontal="left" wrapText="1"/>
    </xf>
    <xf numFmtId="0" fontId="0" fillId="27" borderId="0" xfId="0" applyFill="1" applyAlignment="1">
      <alignment wrapText="1"/>
    </xf>
    <xf numFmtId="0" fontId="45" fillId="71" borderId="0" xfId="0" applyFont="1" applyFill="1" applyAlignment="1">
      <alignment vertical="center" wrapText="1"/>
    </xf>
    <xf numFmtId="0" fontId="107" fillId="71" borderId="0" xfId="0" applyFont="1" applyFill="1" applyAlignment="1">
      <alignment wrapText="1"/>
    </xf>
    <xf numFmtId="0" fontId="0" fillId="71" borderId="0" xfId="0" applyFill="1" applyAlignment="1">
      <alignment horizontal="right"/>
    </xf>
    <xf numFmtId="0" fontId="92" fillId="0" borderId="0" xfId="3" applyAlignment="1">
      <alignment horizontal="left" wrapText="1"/>
    </xf>
    <xf numFmtId="0" fontId="4" fillId="71" borderId="0" xfId="0" applyFont="1" applyFill="1" applyAlignment="1">
      <alignment horizontal="center" wrapText="1"/>
    </xf>
    <xf numFmtId="1" fontId="0" fillId="0" borderId="0" xfId="0" applyNumberFormat="1" applyAlignment="1">
      <alignment horizontal="left" wrapText="1"/>
    </xf>
    <xf numFmtId="0" fontId="6" fillId="71" borderId="0" xfId="0" applyFont="1" applyFill="1" applyAlignment="1">
      <alignment vertical="center"/>
    </xf>
    <xf numFmtId="0" fontId="0" fillId="0" borderId="26" xfId="0" applyBorder="1" applyAlignment="1">
      <alignment wrapText="1"/>
    </xf>
    <xf numFmtId="0" fontId="5" fillId="0" borderId="0" xfId="0" applyFont="1" applyAlignment="1">
      <alignment vertical="center" wrapText="1"/>
    </xf>
    <xf numFmtId="0" fontId="26" fillId="0" borderId="0" xfId="0" applyFont="1" applyAlignment="1">
      <alignment horizontal="center" vertical="center" wrapText="1"/>
    </xf>
    <xf numFmtId="0" fontId="0" fillId="71" borderId="104" xfId="0" applyFill="1" applyBorder="1" applyAlignment="1">
      <alignment vertical="center" wrapText="1"/>
    </xf>
    <xf numFmtId="0" fontId="0" fillId="71" borderId="105" xfId="0" applyFill="1" applyBorder="1" applyAlignment="1">
      <alignment vertical="center" wrapText="1"/>
    </xf>
    <xf numFmtId="0" fontId="0" fillId="71" borderId="113" xfId="0" applyFill="1" applyBorder="1" applyAlignment="1">
      <alignment vertical="center" wrapText="1"/>
    </xf>
    <xf numFmtId="0" fontId="6" fillId="0" borderId="0" xfId="0" applyFont="1" applyAlignment="1">
      <alignment vertical="center" wrapText="1"/>
    </xf>
    <xf numFmtId="0" fontId="0" fillId="71" borderId="122" xfId="0" applyFill="1" applyBorder="1" applyAlignment="1">
      <alignment vertical="center" wrapText="1"/>
    </xf>
    <xf numFmtId="0" fontId="0" fillId="71" borderId="27" xfId="0" applyFill="1" applyBorder="1" applyAlignment="1">
      <alignment vertical="center" wrapText="1"/>
    </xf>
    <xf numFmtId="0" fontId="19" fillId="76" borderId="27" xfId="0" applyFont="1" applyFill="1" applyBorder="1" applyAlignment="1">
      <alignment vertical="center" wrapText="1"/>
    </xf>
    <xf numFmtId="0" fontId="0" fillId="71" borderId="66" xfId="0" applyFill="1" applyBorder="1" applyAlignment="1">
      <alignment vertical="center" wrapText="1"/>
    </xf>
    <xf numFmtId="0" fontId="0" fillId="71" borderId="100" xfId="0" applyFill="1" applyBorder="1" applyAlignment="1">
      <alignment vertical="center" wrapText="1"/>
    </xf>
    <xf numFmtId="0" fontId="2" fillId="0" borderId="0" xfId="0" applyFont="1" applyAlignment="1">
      <alignment vertical="center" wrapText="1"/>
    </xf>
    <xf numFmtId="0" fontId="7" fillId="27" borderId="0" xfId="0" applyFont="1" applyFill="1" applyAlignment="1">
      <alignment horizontal="right"/>
    </xf>
    <xf numFmtId="0" fontId="0" fillId="27" borderId="0" xfId="0" applyFill="1" applyAlignment="1">
      <alignment vertical="top"/>
    </xf>
    <xf numFmtId="0" fontId="14" fillId="71" borderId="0" xfId="0" applyFont="1" applyFill="1" applyAlignment="1">
      <alignment horizontal="left" vertical="top" wrapText="1"/>
    </xf>
    <xf numFmtId="1" fontId="0" fillId="34" borderId="0" xfId="0" applyNumberFormat="1" applyFill="1" applyAlignment="1">
      <alignment horizontal="center" vertical="top" wrapText="1"/>
    </xf>
    <xf numFmtId="1" fontId="0" fillId="34" borderId="16" xfId="0" applyNumberFormat="1" applyFill="1" applyBorder="1" applyAlignment="1">
      <alignment horizontal="center" vertical="top" wrapText="1"/>
    </xf>
    <xf numFmtId="1" fontId="0" fillId="71" borderId="26" xfId="0" applyNumberFormat="1" applyFill="1" applyBorder="1" applyAlignment="1">
      <alignment vertical="top" wrapText="1"/>
    </xf>
    <xf numFmtId="0" fontId="28" fillId="0" borderId="16" xfId="0" applyFont="1" applyBorder="1" applyAlignment="1">
      <alignment horizontal="left" wrapText="1"/>
    </xf>
    <xf numFmtId="0" fontId="28" fillId="0" borderId="16" xfId="0" applyFont="1" applyBorder="1" applyAlignment="1">
      <alignment horizontal="left" vertical="center" wrapText="1"/>
    </xf>
    <xf numFmtId="0" fontId="4" fillId="33" borderId="0" xfId="0" applyFont="1" applyFill="1" applyAlignment="1">
      <alignment horizontal="center" vertical="center" wrapText="1"/>
    </xf>
    <xf numFmtId="0" fontId="28" fillId="0" borderId="15" xfId="0" applyFont="1" applyBorder="1" applyAlignment="1">
      <alignment horizontal="left" vertical="center" wrapText="1"/>
    </xf>
    <xf numFmtId="0" fontId="28" fillId="0" borderId="16" xfId="0" applyFont="1" applyBorder="1" applyAlignment="1">
      <alignment horizontal="left" vertical="top" wrapText="1"/>
    </xf>
    <xf numFmtId="0" fontId="0" fillId="0" borderId="0" xfId="0" applyAlignment="1">
      <alignment horizontal="center"/>
    </xf>
    <xf numFmtId="0" fontId="8" fillId="0" borderId="0" xfId="0" applyFont="1" applyAlignment="1">
      <alignment horizontal="left" wrapText="1"/>
    </xf>
    <xf numFmtId="0" fontId="4" fillId="14" borderId="0" xfId="0" applyFont="1" applyFill="1" applyAlignment="1">
      <alignment horizontal="center" vertical="center" wrapText="1"/>
    </xf>
    <xf numFmtId="0" fontId="4" fillId="31" borderId="0" xfId="0" applyFont="1" applyFill="1" applyAlignment="1">
      <alignment horizontal="center" vertical="center" wrapText="1"/>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0" fillId="54" borderId="0" xfId="0" applyFill="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0" fillId="27" borderId="0" xfId="0" applyFill="1" applyAlignment="1">
      <alignment horizontal="center" vertical="center"/>
    </xf>
    <xf numFmtId="0" fontId="0" fillId="0" borderId="11" xfId="0" applyBorder="1" applyAlignment="1">
      <alignment horizontal="center" vertical="center"/>
    </xf>
    <xf numFmtId="0" fontId="15" fillId="0" borderId="10" xfId="0" applyFont="1" applyBorder="1" applyAlignment="1">
      <alignment horizontal="center" vertical="center"/>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6" borderId="0" xfId="0" applyFont="1" applyFill="1" applyAlignment="1">
      <alignment horizontal="center" vertical="center" wrapText="1"/>
    </xf>
    <xf numFmtId="0" fontId="27" fillId="36" borderId="91" xfId="0" applyFont="1" applyFill="1" applyBorder="1" applyAlignment="1">
      <alignment horizontal="center" vertical="center" wrapText="1"/>
    </xf>
    <xf numFmtId="0" fontId="13" fillId="0" borderId="0" xfId="0" applyFont="1" applyAlignment="1">
      <alignment horizontal="center"/>
    </xf>
    <xf numFmtId="0" fontId="0" fillId="0" borderId="0" xfId="0" applyAlignment="1">
      <alignment horizontal="left" wrapText="1"/>
    </xf>
    <xf numFmtId="0" fontId="10" fillId="0" borderId="0" xfId="0" applyFont="1" applyAlignment="1">
      <alignment horizontal="center" wrapText="1"/>
    </xf>
    <xf numFmtId="0" fontId="2" fillId="0" borderId="0" xfId="0" applyFont="1" applyAlignment="1">
      <alignment horizontal="center"/>
    </xf>
    <xf numFmtId="0" fontId="5" fillId="6" borderId="0" xfId="0" applyFont="1" applyFill="1" applyAlignment="1">
      <alignment horizontal="center"/>
    </xf>
    <xf numFmtId="0" fontId="0" fillId="27" borderId="0" xfId="0" applyFill="1" applyAlignment="1">
      <alignment horizontal="center"/>
    </xf>
    <xf numFmtId="0" fontId="7" fillId="0" borderId="0" xfId="0" applyFont="1" applyAlignment="1">
      <alignment horizontal="center"/>
    </xf>
    <xf numFmtId="0" fontId="17" fillId="74" borderId="0" xfId="0" applyFont="1" applyFill="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0" fillId="0" borderId="0" xfId="0" applyAlignment="1">
      <alignment horizontal="center" wrapText="1"/>
    </xf>
    <xf numFmtId="0" fontId="7" fillId="0" borderId="0" xfId="0" applyFont="1" applyAlignment="1">
      <alignment horizontal="center" wrapText="1"/>
    </xf>
    <xf numFmtId="0" fontId="6" fillId="34" borderId="0" xfId="0" applyFont="1" applyFill="1" applyAlignment="1">
      <alignment horizontal="center"/>
    </xf>
    <xf numFmtId="0" fontId="6" fillId="0" borderId="0" xfId="0" applyFont="1" applyAlignment="1">
      <alignment horizontal="center"/>
    </xf>
    <xf numFmtId="0" fontId="151" fillId="0" borderId="0" xfId="0" applyFont="1" applyAlignment="1">
      <alignment horizontal="center" vertical="center" wrapText="1"/>
    </xf>
    <xf numFmtId="0" fontId="0" fillId="0" borderId="0" xfId="0" applyAlignment="1">
      <alignment horizontal="center" vertical="center" wrapText="1"/>
    </xf>
    <xf numFmtId="0" fontId="14" fillId="0" borderId="0" xfId="0" applyFont="1" applyAlignment="1">
      <alignment horizontal="center" wrapText="1"/>
    </xf>
    <xf numFmtId="0" fontId="14" fillId="0" borderId="0" xfId="0" applyFont="1" applyAlignment="1">
      <alignment horizontal="left" wrapText="1"/>
    </xf>
    <xf numFmtId="0" fontId="0" fillId="18" borderId="0" xfId="0" applyFill="1" applyAlignment="1">
      <alignment horizontal="left" vertical="center" wrapText="1"/>
    </xf>
    <xf numFmtId="0" fontId="0" fillId="71" borderId="11" xfId="0" applyFill="1" applyBorder="1" applyAlignment="1">
      <alignment horizontal="left" vertical="center" wrapText="1"/>
    </xf>
    <xf numFmtId="0" fontId="0" fillId="71" borderId="0" xfId="0" applyFill="1" applyAlignment="1">
      <alignment horizontal="left" vertical="center" wrapText="1"/>
    </xf>
    <xf numFmtId="0" fontId="0" fillId="65" borderId="11" xfId="0" applyFill="1" applyBorder="1" applyAlignment="1">
      <alignment horizontal="left" vertical="center"/>
    </xf>
    <xf numFmtId="0" fontId="0" fillId="65" borderId="0" xfId="0" applyFill="1" applyAlignment="1">
      <alignment horizontal="left" vertical="center"/>
    </xf>
    <xf numFmtId="0" fontId="0" fillId="6" borderId="11" xfId="0" applyFill="1" applyBorder="1" applyAlignment="1">
      <alignment horizontal="center" vertical="center" wrapText="1"/>
    </xf>
    <xf numFmtId="0" fontId="0" fillId="6" borderId="0" xfId="0" applyFill="1" applyAlignment="1">
      <alignment horizontal="center" vertical="center" wrapText="1"/>
    </xf>
    <xf numFmtId="0" fontId="0" fillId="16" borderId="11" xfId="0" applyFill="1" applyBorder="1" applyAlignment="1">
      <alignment horizontal="left" vertical="center" wrapText="1"/>
    </xf>
    <xf numFmtId="0" fontId="0" fillId="16" borderId="0" xfId="0" applyFill="1" applyAlignment="1">
      <alignment horizontal="left" vertical="center" wrapText="1"/>
    </xf>
    <xf numFmtId="0" fontId="0" fillId="8" borderId="11" xfId="0" applyFill="1" applyBorder="1" applyAlignment="1">
      <alignment horizontal="left" vertical="top" wrapText="1"/>
    </xf>
    <xf numFmtId="0" fontId="0" fillId="8" borderId="0" xfId="0" applyFill="1" applyAlignment="1">
      <alignment horizontal="left" vertical="top" wrapText="1"/>
    </xf>
    <xf numFmtId="0" fontId="3" fillId="0" borderId="0" xfId="0" applyFont="1" applyAlignment="1">
      <alignment horizontal="center" wrapText="1"/>
    </xf>
    <xf numFmtId="0" fontId="14" fillId="71" borderId="0" xfId="0" applyFont="1" applyFill="1" applyAlignment="1">
      <alignment horizontal="left" wrapText="1"/>
    </xf>
    <xf numFmtId="0" fontId="0" fillId="15" borderId="0" xfId="0" applyFill="1" applyAlignment="1">
      <alignment horizontal="center" vertical="center" wrapText="1"/>
    </xf>
    <xf numFmtId="0" fontId="41" fillId="0" borderId="0" xfId="0" applyFont="1" applyAlignment="1">
      <alignment horizontal="center" vertical="center" wrapText="1"/>
    </xf>
    <xf numFmtId="0" fontId="82" fillId="2" borderId="0" xfId="0" applyFont="1" applyFill="1" applyAlignment="1">
      <alignment horizontal="center"/>
    </xf>
    <xf numFmtId="0" fontId="82" fillId="2" borderId="6" xfId="0" applyFont="1" applyFill="1" applyBorder="1" applyAlignment="1">
      <alignment horizontal="center"/>
    </xf>
    <xf numFmtId="0" fontId="0" fillId="34" borderId="54" xfId="0" applyFill="1" applyBorder="1" applyAlignment="1">
      <alignment horizont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54" xfId="0" applyBorder="1" applyAlignment="1">
      <alignment horizontal="center"/>
    </xf>
    <xf numFmtId="0" fontId="0" fillId="0" borderId="55" xfId="0" applyBorder="1" applyAlignment="1">
      <alignment horizontal="center"/>
    </xf>
    <xf numFmtId="0" fontId="0" fillId="19" borderId="0" xfId="0" applyFill="1" applyAlignment="1">
      <alignment horizontal="center"/>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0" fillId="34" borderId="53" xfId="0" applyFill="1" applyBorder="1" applyAlignment="1">
      <alignment horizontal="center"/>
    </xf>
    <xf numFmtId="0" fontId="5" fillId="71" borderId="0" xfId="0" applyFont="1" applyFill="1" applyAlignment="1">
      <alignment horizontal="center"/>
    </xf>
    <xf numFmtId="0" fontId="0" fillId="0" borderId="19" xfId="0" applyBorder="1" applyAlignment="1">
      <alignment horizontal="center" vertical="center" wrapText="1"/>
    </xf>
    <xf numFmtId="0" fontId="0" fillId="0" borderId="1" xfId="0" applyBorder="1" applyAlignment="1">
      <alignment horizontal="center"/>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110" fillId="71" borderId="18" xfId="0" applyFont="1" applyFill="1" applyBorder="1" applyAlignment="1">
      <alignment horizontal="center" vertical="center" wrapText="1"/>
    </xf>
    <xf numFmtId="0" fontId="110" fillId="71" borderId="13" xfId="0" applyFont="1" applyFill="1" applyBorder="1" applyAlignment="1">
      <alignment horizontal="center"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wrapText="1"/>
    </xf>
    <xf numFmtId="0" fontId="13" fillId="27" borderId="6" xfId="0" applyFont="1" applyFill="1" applyBorder="1" applyAlignment="1">
      <alignment horizontal="center" vertical="center" wrapText="1"/>
    </xf>
    <xf numFmtId="0" fontId="14" fillId="0" borderId="0" xfId="0" applyFont="1" applyAlignment="1">
      <alignment horizontal="center"/>
    </xf>
    <xf numFmtId="0" fontId="6" fillId="9" borderId="0" xfId="0" applyFont="1" applyFill="1" applyAlignment="1">
      <alignment horizontal="center" wrapText="1"/>
    </xf>
    <xf numFmtId="0" fontId="35" fillId="0" borderId="0" xfId="0" applyFont="1" applyAlignment="1">
      <alignment horizontal="center" wrapText="1"/>
    </xf>
    <xf numFmtId="0" fontId="27" fillId="0" borderId="7" xfId="0" applyFont="1" applyBorder="1" applyAlignment="1">
      <alignment horizontal="center" vertical="top" wrapText="1"/>
    </xf>
    <xf numFmtId="0" fontId="27" fillId="0" borderId="8" xfId="0" applyFont="1" applyBorder="1" applyAlignment="1">
      <alignment horizontal="center" vertical="top" wrapText="1"/>
    </xf>
    <xf numFmtId="1" fontId="0" fillId="0" borderId="7" xfId="0" applyNumberFormat="1" applyBorder="1" applyAlignment="1">
      <alignment horizontal="center" vertical="center" wrapText="1"/>
    </xf>
    <xf numFmtId="1" fontId="0" fillId="0" borderId="9" xfId="0" applyNumberFormat="1" applyBorder="1" applyAlignment="1">
      <alignment horizontal="center" vertical="center" wrapText="1"/>
    </xf>
    <xf numFmtId="1" fontId="0" fillId="0" borderId="8" xfId="0" applyNumberFormat="1" applyBorder="1" applyAlignment="1">
      <alignment horizontal="center" vertical="center" wrapText="1"/>
    </xf>
    <xf numFmtId="0" fontId="149" fillId="14" borderId="0" xfId="0" applyFont="1" applyFill="1" applyAlignment="1">
      <alignment horizontal="center"/>
    </xf>
    <xf numFmtId="0" fontId="85" fillId="71" borderId="0" xfId="0" applyFont="1" applyFill="1" applyAlignment="1">
      <alignment horizontal="center" vertical="center" wrapText="1"/>
    </xf>
    <xf numFmtId="0" fontId="7" fillId="55" borderId="0" xfId="0" applyFont="1" applyFill="1" applyAlignment="1">
      <alignment horizontal="center"/>
    </xf>
    <xf numFmtId="0" fontId="112" fillId="69" borderId="36" xfId="0" applyFont="1" applyFill="1" applyBorder="1" applyAlignment="1">
      <alignment horizontal="center" vertical="center" wrapText="1"/>
    </xf>
    <xf numFmtId="0" fontId="112" fillId="69" borderId="0" xfId="0" applyFont="1" applyFill="1" applyAlignment="1">
      <alignment horizontal="center" vertical="center" wrapText="1"/>
    </xf>
    <xf numFmtId="0" fontId="112" fillId="69" borderId="56" xfId="0" applyFont="1" applyFill="1" applyBorder="1" applyAlignment="1">
      <alignment horizontal="center" vertic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87" fillId="69" borderId="36" xfId="0" applyFont="1" applyFill="1" applyBorder="1" applyAlignment="1">
      <alignment horizontal="center" vertical="center" wrapText="1"/>
    </xf>
    <xf numFmtId="0" fontId="87" fillId="69" borderId="0" xfId="0" applyFont="1" applyFill="1" applyAlignment="1">
      <alignment horizontal="center" vertical="center" wrapText="1"/>
    </xf>
    <xf numFmtId="0" fontId="87" fillId="69" borderId="0" xfId="0" applyFont="1" applyFill="1" applyAlignment="1">
      <alignment horizontal="center" vertical="center"/>
    </xf>
    <xf numFmtId="0" fontId="87" fillId="69" borderId="56" xfId="0" applyFont="1" applyFill="1" applyBorder="1" applyAlignment="1">
      <alignment horizontal="center" vertical="center"/>
    </xf>
    <xf numFmtId="0" fontId="111" fillId="60" borderId="36" xfId="0" applyFont="1" applyFill="1" applyBorder="1" applyAlignment="1">
      <alignment horizontal="center" vertical="center" wrapText="1"/>
    </xf>
    <xf numFmtId="0" fontId="111" fillId="60" borderId="0" xfId="0" applyFont="1" applyFill="1" applyAlignment="1">
      <alignment horizontal="center" vertical="center" wrapText="1"/>
    </xf>
    <xf numFmtId="0" fontId="111" fillId="60" borderId="56" xfId="0" applyFont="1" applyFill="1" applyBorder="1" applyAlignment="1">
      <alignment horizontal="center" vertical="center" wrapText="1"/>
    </xf>
    <xf numFmtId="0" fontId="0" fillId="0" borderId="0" xfId="0" applyAlignment="1">
      <alignment horizontal="left" vertical="center" wrapText="1"/>
    </xf>
    <xf numFmtId="0" fontId="18" fillId="16" borderId="54" xfId="0" applyFont="1" applyFill="1" applyBorder="1" applyAlignment="1">
      <alignment horizontal="center" vertical="center" wrapText="1"/>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28" fillId="0" borderId="0" xfId="0" applyFont="1" applyAlignment="1">
      <alignment horizontal="center" wrapText="1"/>
    </xf>
    <xf numFmtId="0" fontId="14" fillId="27" borderId="0" xfId="0" applyFont="1" applyFill="1" applyAlignment="1">
      <alignment horizontal="center"/>
    </xf>
    <xf numFmtId="0" fontId="38" fillId="71" borderId="0" xfId="0" applyFont="1" applyFill="1" applyAlignment="1">
      <alignment horizontal="center" vertical="center" wrapText="1"/>
    </xf>
    <xf numFmtId="0" fontId="38" fillId="71" borderId="0" xfId="0" applyFont="1" applyFill="1" applyAlignment="1">
      <alignment horizontal="center" vertical="center"/>
    </xf>
    <xf numFmtId="0" fontId="0" fillId="6" borderId="0" xfId="0" applyFill="1" applyAlignment="1">
      <alignment horizontal="center"/>
    </xf>
    <xf numFmtId="0" fontId="0" fillId="27" borderId="18" xfId="0" applyFill="1" applyBorder="1" applyAlignment="1">
      <alignment horizontal="center" vertical="center"/>
    </xf>
    <xf numFmtId="0" fontId="0" fillId="27" borderId="11" xfId="0" applyFill="1" applyBorder="1" applyAlignment="1">
      <alignment horizontal="center" vertical="center"/>
    </xf>
    <xf numFmtId="0" fontId="0" fillId="27" borderId="13" xfId="0" applyFill="1" applyBorder="1" applyAlignment="1">
      <alignment horizontal="center" vertical="center"/>
    </xf>
    <xf numFmtId="0" fontId="0" fillId="27" borderId="19" xfId="0" applyFill="1" applyBorder="1" applyAlignment="1">
      <alignment horizontal="center" vertical="center"/>
    </xf>
    <xf numFmtId="0" fontId="0" fillId="27" borderId="6" xfId="0" applyFill="1" applyBorder="1" applyAlignment="1">
      <alignment horizontal="center" vertical="center"/>
    </xf>
    <xf numFmtId="0" fontId="0" fillId="27" borderId="20" xfId="0" applyFill="1" applyBorder="1" applyAlignment="1">
      <alignment horizontal="center" vertical="center"/>
    </xf>
    <xf numFmtId="0" fontId="0" fillId="27" borderId="10" xfId="0" applyFill="1" applyBorder="1" applyAlignment="1">
      <alignment horizontal="center" vertical="center"/>
    </xf>
    <xf numFmtId="0" fontId="0" fillId="27" borderId="14" xfId="0" applyFill="1" applyBorder="1" applyAlignment="1">
      <alignment horizontal="center" vertical="center"/>
    </xf>
    <xf numFmtId="0" fontId="0" fillId="0" borderId="7" xfId="0" applyBorder="1" applyAlignment="1">
      <alignment horizontal="center" vertical="top" wrapText="1"/>
    </xf>
    <xf numFmtId="0" fontId="0" fillId="0" borderId="9" xfId="0" applyBorder="1" applyAlignment="1">
      <alignment horizontal="center" vertical="top" wrapText="1"/>
    </xf>
    <xf numFmtId="0" fontId="0" fillId="0" borderId="8" xfId="0" applyBorder="1" applyAlignment="1">
      <alignment horizontal="center" vertical="top" wrapText="1"/>
    </xf>
    <xf numFmtId="0" fontId="0" fillId="0" borderId="7" xfId="0" applyBorder="1" applyAlignment="1">
      <alignment horizontal="center" wrapText="1"/>
    </xf>
    <xf numFmtId="0" fontId="0" fillId="0" borderId="9" xfId="0" applyBorder="1" applyAlignment="1">
      <alignment horizontal="center" wrapText="1"/>
    </xf>
    <xf numFmtId="0" fontId="0" fillId="0" borderId="8" xfId="0" applyBorder="1" applyAlignment="1">
      <alignment horizontal="center" wrapText="1"/>
    </xf>
    <xf numFmtId="0" fontId="4" fillId="71" borderId="0" xfId="0" applyFont="1" applyFill="1" applyAlignment="1">
      <alignment horizontal="center"/>
    </xf>
    <xf numFmtId="0" fontId="4" fillId="71" borderId="99" xfId="0" applyFont="1" applyFill="1" applyBorder="1" applyAlignment="1">
      <alignment horizontal="center"/>
    </xf>
    <xf numFmtId="0" fontId="10" fillId="0" borderId="0" xfId="0" applyFont="1" applyAlignment="1">
      <alignment horizontal="left" wrapText="1"/>
    </xf>
    <xf numFmtId="0" fontId="2" fillId="0" borderId="0" xfId="0" applyFont="1" applyAlignment="1">
      <alignment horizontal="center" vertical="top" wrapText="1"/>
    </xf>
    <xf numFmtId="0" fontId="13" fillId="27" borderId="19" xfId="0" applyFont="1" applyFill="1" applyBorder="1" applyAlignment="1">
      <alignment horizontal="center" wrapText="1"/>
    </xf>
    <xf numFmtId="0" fontId="13" fillId="27" borderId="6" xfId="0" applyFont="1" applyFill="1" applyBorder="1" applyAlignment="1">
      <alignment horizontal="center" wrapText="1"/>
    </xf>
    <xf numFmtId="0" fontId="0" fillId="33" borderId="0" xfId="0" applyFill="1" applyAlignment="1">
      <alignment horizontal="center" vertical="center" textRotation="45"/>
    </xf>
    <xf numFmtId="0" fontId="0" fillId="0" borderId="0" xfId="0" applyAlignment="1">
      <alignment horizontal="center" vertical="center" textRotation="90"/>
    </xf>
    <xf numFmtId="0" fontId="0" fillId="14" borderId="0" xfId="0" applyFill="1" applyAlignment="1">
      <alignment horizontal="center" vertical="center" textRotation="45"/>
    </xf>
    <xf numFmtId="164" fontId="0" fillId="33" borderId="0" xfId="1" applyNumberFormat="1" applyFont="1" applyFill="1" applyAlignment="1">
      <alignment horizontal="center" vertical="center"/>
    </xf>
    <xf numFmtId="0" fontId="2" fillId="6" borderId="0" xfId="0" applyFont="1" applyFill="1" applyAlignment="1">
      <alignment horizontal="center" vertical="center" wrapText="1"/>
    </xf>
    <xf numFmtId="0" fontId="2" fillId="18" borderId="0" xfId="0" applyFont="1" applyFill="1" applyAlignment="1">
      <alignment horizontal="center" vertical="center" wrapText="1"/>
    </xf>
    <xf numFmtId="0" fontId="39" fillId="3" borderId="0" xfId="0" applyFont="1" applyFill="1" applyAlignment="1">
      <alignment horizontal="left"/>
    </xf>
    <xf numFmtId="0" fontId="39" fillId="3" borderId="56" xfId="0" applyFont="1" applyFill="1" applyBorder="1" applyAlignment="1">
      <alignment horizontal="left"/>
    </xf>
    <xf numFmtId="0" fontId="150" fillId="76" borderId="0" xfId="0" applyFont="1" applyFill="1" applyAlignment="1">
      <alignment horizontal="center"/>
    </xf>
    <xf numFmtId="164" fontId="1" fillId="14" borderId="0" xfId="1" applyNumberFormat="1" applyFont="1" applyFill="1" applyAlignment="1">
      <alignment horizontal="center" vertical="center"/>
    </xf>
    <xf numFmtId="0" fontId="0" fillId="27" borderId="0" xfId="0" applyFill="1" applyAlignment="1">
      <alignment horizontal="center" vertical="center" textRotation="90"/>
    </xf>
    <xf numFmtId="0" fontId="27" fillId="9" borderId="7" xfId="0" applyFont="1" applyFill="1" applyBorder="1" applyAlignment="1">
      <alignment horizontal="center" vertical="top" wrapText="1"/>
    </xf>
    <xf numFmtId="0" fontId="27" fillId="9" borderId="8" xfId="0" applyFont="1" applyFill="1" applyBorder="1" applyAlignment="1">
      <alignment horizontal="center" vertical="top" wrapText="1"/>
    </xf>
    <xf numFmtId="0" fontId="0" fillId="71" borderId="0" xfId="0" applyFill="1" applyAlignment="1">
      <alignment horizontal="left" wrapText="1"/>
    </xf>
    <xf numFmtId="0" fontId="0" fillId="71" borderId="19" xfId="0" applyFill="1" applyBorder="1" applyAlignment="1">
      <alignment horizontal="center" wrapText="1"/>
    </xf>
    <xf numFmtId="0" fontId="13" fillId="71" borderId="0" xfId="0" applyFont="1" applyFill="1" applyAlignment="1">
      <alignment horizontal="center" wrapText="1"/>
    </xf>
    <xf numFmtId="0" fontId="110" fillId="71" borderId="18" xfId="0" applyFont="1" applyFill="1" applyBorder="1" applyAlignment="1">
      <alignment horizontal="center" vertical="center"/>
    </xf>
    <xf numFmtId="0" fontId="110" fillId="71" borderId="11" xfId="0" applyFont="1" applyFill="1" applyBorder="1" applyAlignment="1">
      <alignment horizontal="center" vertical="center"/>
    </xf>
    <xf numFmtId="0" fontId="24" fillId="0" borderId="0" xfId="0" applyFont="1" applyAlignment="1">
      <alignment horizontal="center" vertical="center"/>
    </xf>
    <xf numFmtId="0" fontId="12" fillId="31" borderId="0" xfId="0" applyFont="1" applyFill="1" applyAlignment="1">
      <alignment horizontal="center" vertical="center" wrapText="1"/>
    </xf>
  </cellXfs>
  <cellStyles count="5">
    <cellStyle name="Comma" xfId="1" builtinId="3"/>
    <cellStyle name="Hyperlink" xfId="3" builtinId="8"/>
    <cellStyle name="Normal" xfId="0" builtinId="0"/>
    <cellStyle name="Normal 2" xfId="4" xr:uid="{3ACDA4FE-6E48-074E-A740-4B631A3B71B2}"/>
    <cellStyle name="Percent" xfId="2" builtinId="5"/>
  </cellStyles>
  <dxfs count="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EED7FC"/>
      <color rgb="FFFF7E79"/>
      <color rgb="FFEED0B0"/>
      <color rgb="FF00F3AD"/>
      <color rgb="FFFF2600"/>
      <color rgb="FFECA0BF"/>
      <color rgb="FFF4E6FF"/>
      <color rgb="FFF20004"/>
      <color rgb="FFE984AF"/>
      <color rgb="FFF5FA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0</c:v>
                </c:pt>
                <c:pt idx="1">
                  <c:v>9.9212598425196849E-2</c:v>
                </c:pt>
                <c:pt idx="2">
                  <c:v>9.6062992125984251E-2</c:v>
                </c:pt>
                <c:pt idx="3">
                  <c:v>8.1889763779527558E-2</c:v>
                </c:pt>
                <c:pt idx="4">
                  <c:v>0.24724409448818899</c:v>
                </c:pt>
                <c:pt idx="5">
                  <c:v>0.22992125984251968</c:v>
                </c:pt>
                <c:pt idx="6">
                  <c:v>0.13385826771653545</c:v>
                </c:pt>
                <c:pt idx="7">
                  <c:v>0.11181102362204724</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3.5714285714285712E-2</c:v>
                </c:pt>
                <c:pt idx="1">
                  <c:v>5.9523809523809521E-3</c:v>
                </c:pt>
                <c:pt idx="2">
                  <c:v>8.9285714285714288E-2</c:v>
                </c:pt>
                <c:pt idx="3">
                  <c:v>0.125</c:v>
                </c:pt>
                <c:pt idx="4">
                  <c:v>0.18452380952380953</c:v>
                </c:pt>
                <c:pt idx="5">
                  <c:v>0.13095238095238096</c:v>
                </c:pt>
                <c:pt idx="6">
                  <c:v>0.25</c:v>
                </c:pt>
                <c:pt idx="7">
                  <c:v>0.17857142857142858</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4">
                  <c:v>déforme les souvenirs</c:v>
                </c:pt>
                <c:pt idx="7">
                  <c:v>change d'attitude lorsqu'il est en présence des deux parents</c:v>
                </c:pt>
                <c:pt idx="10">
                  <c:v>est informé du contexte juridique ou autre sujet associé au conflit</c:v>
                </c:pt>
              </c:strCache>
            </c:strRef>
          </c:cat>
          <c:val>
            <c:numRef>
              <c:f>Baromètre!$V$81:$V$95</c:f>
              <c:numCache>
                <c:formatCode>0</c:formatCode>
                <c:ptCount val="15"/>
                <c:pt idx="0">
                  <c:v>0</c:v>
                </c:pt>
                <c:pt idx="1">
                  <c:v>0</c:v>
                </c:pt>
                <c:pt idx="2">
                  <c:v>0</c:v>
                </c:pt>
                <c:pt idx="3">
                  <c:v>0</c:v>
                </c:pt>
                <c:pt idx="4">
                  <c:v>27</c:v>
                </c:pt>
                <c:pt idx="5">
                  <c:v>0</c:v>
                </c:pt>
                <c:pt idx="6">
                  <c:v>0</c:v>
                </c:pt>
                <c:pt idx="7">
                  <c:v>21</c:v>
                </c:pt>
                <c:pt idx="8">
                  <c:v>0</c:v>
                </c:pt>
                <c:pt idx="9">
                  <c:v>0</c:v>
                </c:pt>
                <c:pt idx="10">
                  <c:v>32</c:v>
                </c:pt>
                <c:pt idx="11">
                  <c:v>0</c:v>
                </c:pt>
                <c:pt idx="12">
                  <c:v>0</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3.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17.jpeg"/><Relationship Id="rId5" Type="http://schemas.openxmlformats.org/officeDocument/2006/relationships/image" Target="../media/image16.png"/><Relationship Id="rId4" Type="http://schemas.openxmlformats.org/officeDocument/2006/relationships/image" Target="../media/image1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800800"/>
              <a:ext cx="14373185" cy="81290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425542</xdr:colOff>
      <xdr:row>560</xdr:row>
      <xdr:rowOff>109576</xdr:rowOff>
    </xdr:from>
    <xdr:to>
      <xdr:col>5</xdr:col>
      <xdr:colOff>881684</xdr:colOff>
      <xdr:row>563</xdr:row>
      <xdr:rowOff>205580</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5742" y="134945476"/>
          <a:ext cx="1624542" cy="1277104"/>
        </a:xfrm>
        <a:prstGeom prst="rect">
          <a:avLst/>
        </a:prstGeom>
      </xdr:spPr>
    </xdr:pic>
    <xdr:clientData/>
  </xdr:twoCellAnchor>
  <xdr:twoCellAnchor editAs="oneCell">
    <xdr:from>
      <xdr:col>10</xdr:col>
      <xdr:colOff>1532577</xdr:colOff>
      <xdr:row>569</xdr:row>
      <xdr:rowOff>140253</xdr:rowOff>
    </xdr:from>
    <xdr:to>
      <xdr:col>15</xdr:col>
      <xdr:colOff>483090</xdr:colOff>
      <xdr:row>572</xdr:row>
      <xdr:rowOff>2952964</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00977" y="136182653"/>
          <a:ext cx="6037113" cy="3511211"/>
        </a:xfrm>
        <a:prstGeom prst="rect">
          <a:avLst/>
        </a:prstGeom>
      </xdr:spPr>
    </xdr:pic>
    <xdr:clientData/>
  </xdr:twoCellAnchor>
  <xdr:twoCellAnchor editAs="oneCell">
    <xdr:from>
      <xdr:col>10</xdr:col>
      <xdr:colOff>241300</xdr:colOff>
      <xdr:row>420</xdr:row>
      <xdr:rowOff>269434</xdr:rowOff>
    </xdr:from>
    <xdr:to>
      <xdr:col>14</xdr:col>
      <xdr:colOff>364747</xdr:colOff>
      <xdr:row>426</xdr:row>
      <xdr:rowOff>429953</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3"/>
        <a:stretch>
          <a:fillRect/>
        </a:stretch>
      </xdr:blipFill>
      <xdr:spPr>
        <a:xfrm>
          <a:off x="13233400" y="89207534"/>
          <a:ext cx="6384547" cy="1836919"/>
        </a:xfrm>
        <a:prstGeom prst="rect">
          <a:avLst/>
        </a:prstGeom>
      </xdr:spPr>
    </xdr:pic>
    <xdr:clientData/>
  </xdr:twoCellAnchor>
  <xdr:twoCellAnchor editAs="oneCell">
    <xdr:from>
      <xdr:col>36</xdr:col>
      <xdr:colOff>240844</xdr:colOff>
      <xdr:row>452</xdr:row>
      <xdr:rowOff>168852</xdr:rowOff>
    </xdr:from>
    <xdr:to>
      <xdr:col>37</xdr:col>
      <xdr:colOff>888603</xdr:colOff>
      <xdr:row>462</xdr:row>
      <xdr:rowOff>236425</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4"/>
        <a:stretch>
          <a:fillRect/>
        </a:stretch>
      </xdr:blipFill>
      <xdr:spPr>
        <a:xfrm>
          <a:off x="41744444" y="95152152"/>
          <a:ext cx="4470459" cy="3242573"/>
        </a:xfrm>
        <a:prstGeom prst="rect">
          <a:avLst/>
        </a:prstGeom>
      </xdr:spPr>
    </xdr:pic>
    <xdr:clientData/>
  </xdr:twoCellAnchor>
  <xdr:twoCellAnchor editAs="oneCell">
    <xdr:from>
      <xdr:col>6</xdr:col>
      <xdr:colOff>1038490</xdr:colOff>
      <xdr:row>438</xdr:row>
      <xdr:rowOff>52956</xdr:rowOff>
    </xdr:from>
    <xdr:to>
      <xdr:col>10</xdr:col>
      <xdr:colOff>1193800</xdr:colOff>
      <xdr:row>441</xdr:row>
      <xdr:rowOff>76200</xdr:rowOff>
    </xdr:to>
    <xdr:pic>
      <xdr:nvPicPr>
        <xdr:cNvPr id="21" name="Image 20">
          <a:extLst>
            <a:ext uri="{FF2B5EF4-FFF2-40B4-BE49-F238E27FC236}">
              <a16:creationId xmlns:a16="http://schemas.microsoft.com/office/drawing/2014/main" id="{B72AE501-0975-DE95-BDBC-B9850D6DFA70}"/>
            </a:ext>
          </a:extLst>
        </xdr:cNvPr>
        <xdr:cNvPicPr>
          <a:picLocks noChangeAspect="1"/>
        </xdr:cNvPicPr>
      </xdr:nvPicPr>
      <xdr:blipFill>
        <a:blip xmlns:r="http://schemas.openxmlformats.org/officeDocument/2006/relationships" r:embed="rId5"/>
        <a:stretch>
          <a:fillRect/>
        </a:stretch>
      </xdr:blipFill>
      <xdr:spPr>
        <a:xfrm rot="16200000">
          <a:off x="11461373" y="105263573"/>
          <a:ext cx="670944" cy="5235310"/>
        </a:xfrm>
        <a:prstGeom prst="rect">
          <a:avLst/>
        </a:prstGeom>
      </xdr:spPr>
    </xdr:pic>
    <xdr:clientData/>
  </xdr:twoCellAnchor>
  <xdr:twoCellAnchor editAs="oneCell">
    <xdr:from>
      <xdr:col>6</xdr:col>
      <xdr:colOff>807046</xdr:colOff>
      <xdr:row>607</xdr:row>
      <xdr:rowOff>29756</xdr:rowOff>
    </xdr:from>
    <xdr:to>
      <xdr:col>10</xdr:col>
      <xdr:colOff>557798</xdr:colOff>
      <xdr:row>617</xdr:row>
      <xdr:rowOff>238243</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6"/>
        <a:stretch>
          <a:fillRect/>
        </a:stretch>
      </xdr:blipFill>
      <xdr:spPr>
        <a:xfrm>
          <a:off x="9824046" y="152645656"/>
          <a:ext cx="4830752" cy="3319987"/>
        </a:xfrm>
        <a:prstGeom prst="rect">
          <a:avLst/>
        </a:prstGeom>
      </xdr:spPr>
    </xdr:pic>
    <xdr:clientData/>
  </xdr:twoCellAnchor>
  <xdr:twoCellAnchor>
    <xdr:from>
      <xdr:col>7</xdr:col>
      <xdr:colOff>325508</xdr:colOff>
      <xdr:row>607</xdr:row>
      <xdr:rowOff>325928</xdr:rowOff>
    </xdr:from>
    <xdr:to>
      <xdr:col>7</xdr:col>
      <xdr:colOff>485475</xdr:colOff>
      <xdr:row>608</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615</xdr:row>
      <xdr:rowOff>134867</xdr:rowOff>
    </xdr:from>
    <xdr:to>
      <xdr:col>8</xdr:col>
      <xdr:colOff>565729</xdr:colOff>
      <xdr:row>615</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608</xdr:row>
      <xdr:rowOff>247257</xdr:rowOff>
    </xdr:from>
    <xdr:to>
      <xdr:col>9</xdr:col>
      <xdr:colOff>627667</xdr:colOff>
      <xdr:row>609</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609</xdr:row>
      <xdr:rowOff>150625</xdr:rowOff>
    </xdr:from>
    <xdr:to>
      <xdr:col>3</xdr:col>
      <xdr:colOff>376505</xdr:colOff>
      <xdr:row>610</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1014864</xdr:colOff>
      <xdr:row>438</xdr:row>
      <xdr:rowOff>154483</xdr:rowOff>
    </xdr:from>
    <xdr:to>
      <xdr:col>9</xdr:col>
      <xdr:colOff>1157474</xdr:colOff>
      <xdr:row>439</xdr:row>
      <xdr:rowOff>105525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12660764" y="107647283"/>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1164609</xdr:colOff>
      <xdr:row>545</xdr:row>
      <xdr:rowOff>327694</xdr:rowOff>
    </xdr:from>
    <xdr:to>
      <xdr:col>5</xdr:col>
      <xdr:colOff>1626896</xdr:colOff>
      <xdr:row>547</xdr:row>
      <xdr:rowOff>318679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4809" y="124139994"/>
          <a:ext cx="1630687" cy="1248285"/>
        </a:xfrm>
        <a:prstGeom prst="rect">
          <a:avLst/>
        </a:prstGeom>
      </xdr:spPr>
    </xdr:pic>
    <xdr:clientData/>
  </xdr:twoCellAnchor>
  <xdr:twoCellAnchor>
    <xdr:from>
      <xdr:col>7</xdr:col>
      <xdr:colOff>395563</xdr:colOff>
      <xdr:row>608</xdr:row>
      <xdr:rowOff>157346</xdr:rowOff>
    </xdr:from>
    <xdr:to>
      <xdr:col>7</xdr:col>
      <xdr:colOff>405492</xdr:colOff>
      <xdr:row>612</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609</xdr:row>
      <xdr:rowOff>51325</xdr:rowOff>
    </xdr:from>
    <xdr:to>
      <xdr:col>9</xdr:col>
      <xdr:colOff>571473</xdr:colOff>
      <xdr:row>615</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608</xdr:row>
      <xdr:rowOff>278302</xdr:rowOff>
    </xdr:from>
    <xdr:to>
      <xdr:col>10</xdr:col>
      <xdr:colOff>508938</xdr:colOff>
      <xdr:row>610</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612</xdr:row>
      <xdr:rowOff>27608</xdr:rowOff>
    </xdr:from>
    <xdr:to>
      <xdr:col>8</xdr:col>
      <xdr:colOff>510761</xdr:colOff>
      <xdr:row>615</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627</xdr:row>
      <xdr:rowOff>280972</xdr:rowOff>
    </xdr:from>
    <xdr:to>
      <xdr:col>9</xdr:col>
      <xdr:colOff>1243059</xdr:colOff>
      <xdr:row>638</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6"/>
        <a:stretch>
          <a:fillRect/>
        </a:stretch>
      </xdr:blipFill>
      <xdr:spPr>
        <a:xfrm>
          <a:off x="8923716" y="113479556"/>
          <a:ext cx="4877699" cy="2641151"/>
        </a:xfrm>
        <a:prstGeom prst="rect">
          <a:avLst/>
        </a:prstGeom>
      </xdr:spPr>
    </xdr:pic>
    <xdr:clientData/>
  </xdr:twoCellAnchor>
  <xdr:twoCellAnchor>
    <xdr:from>
      <xdr:col>6</xdr:col>
      <xdr:colOff>817412</xdr:colOff>
      <xdr:row>633</xdr:row>
      <xdr:rowOff>2372</xdr:rowOff>
    </xdr:from>
    <xdr:to>
      <xdr:col>6</xdr:col>
      <xdr:colOff>977379</xdr:colOff>
      <xdr:row>633</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633</xdr:row>
      <xdr:rowOff>103523</xdr:rowOff>
    </xdr:from>
    <xdr:to>
      <xdr:col>6</xdr:col>
      <xdr:colOff>899115</xdr:colOff>
      <xdr:row>635</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629</xdr:row>
      <xdr:rowOff>67434</xdr:rowOff>
    </xdr:from>
    <xdr:to>
      <xdr:col>7</xdr:col>
      <xdr:colOff>1069950</xdr:colOff>
      <xdr:row>629</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629</xdr:row>
      <xdr:rowOff>168585</xdr:rowOff>
    </xdr:from>
    <xdr:to>
      <xdr:col>7</xdr:col>
      <xdr:colOff>989968</xdr:colOff>
      <xdr:row>632</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629</xdr:row>
      <xdr:rowOff>33717</xdr:rowOff>
    </xdr:from>
    <xdr:to>
      <xdr:col>9</xdr:col>
      <xdr:colOff>26924</xdr:colOff>
      <xdr:row>629</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629</xdr:row>
      <xdr:rowOff>134868</xdr:rowOff>
    </xdr:from>
    <xdr:to>
      <xdr:col>8</xdr:col>
      <xdr:colOff>1120312</xdr:colOff>
      <xdr:row>630</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628</xdr:row>
      <xdr:rowOff>81237</xdr:rowOff>
    </xdr:from>
    <xdr:to>
      <xdr:col>9</xdr:col>
      <xdr:colOff>1276039</xdr:colOff>
      <xdr:row>628</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628</xdr:row>
      <xdr:rowOff>182388</xdr:rowOff>
    </xdr:from>
    <xdr:to>
      <xdr:col>9</xdr:col>
      <xdr:colOff>1196057</xdr:colOff>
      <xdr:row>629</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452</xdr:row>
      <xdr:rowOff>26054</xdr:rowOff>
    </xdr:from>
    <xdr:to>
      <xdr:col>13</xdr:col>
      <xdr:colOff>92938</xdr:colOff>
      <xdr:row>461</xdr:row>
      <xdr:rowOff>66704</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10800000">
          <a:off x="11759570" y="100457654"/>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456</xdr:row>
      <xdr:rowOff>55218</xdr:rowOff>
    </xdr:from>
    <xdr:to>
      <xdr:col>9</xdr:col>
      <xdr:colOff>952501</xdr:colOff>
      <xdr:row>457</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456</xdr:row>
      <xdr:rowOff>69574</xdr:rowOff>
    </xdr:from>
    <xdr:to>
      <xdr:col>12</xdr:col>
      <xdr:colOff>538923</xdr:colOff>
      <xdr:row>458</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10</xdr:col>
      <xdr:colOff>443108</xdr:colOff>
      <xdr:row>608</xdr:row>
      <xdr:rowOff>192592</xdr:rowOff>
    </xdr:from>
    <xdr:to>
      <xdr:col>10</xdr:col>
      <xdr:colOff>586807</xdr:colOff>
      <xdr:row>609</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4" name="Ellipse 13">
          <a:extLst>
            <a:ext uri="{FF2B5EF4-FFF2-40B4-BE49-F238E27FC236}">
              <a16:creationId xmlns:a16="http://schemas.microsoft.com/office/drawing/2014/main" id="{54268AF4-6A2B-6342-92DB-2C215A53FC53}"/>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7" name="Ellipse 16">
          <a:extLst>
            <a:ext uri="{FF2B5EF4-FFF2-40B4-BE49-F238E27FC236}">
              <a16:creationId xmlns:a16="http://schemas.microsoft.com/office/drawing/2014/main" id="{F7DE24DD-6346-E74B-940F-001E47903ED0}"/>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5</xdr:col>
      <xdr:colOff>469900</xdr:colOff>
      <xdr:row>524</xdr:row>
      <xdr:rowOff>126999</xdr:rowOff>
    </xdr:from>
    <xdr:to>
      <xdr:col>8</xdr:col>
      <xdr:colOff>152400</xdr:colOff>
      <xdr:row>535</xdr:row>
      <xdr:rowOff>136938</xdr:rowOff>
    </xdr:to>
    <xdr:pic>
      <xdr:nvPicPr>
        <xdr:cNvPr id="35" name="Image 34">
          <a:extLst>
            <a:ext uri="{FF2B5EF4-FFF2-40B4-BE49-F238E27FC236}">
              <a16:creationId xmlns:a16="http://schemas.microsoft.com/office/drawing/2014/main" id="{EFF943E9-E35B-981C-B917-02BACF95D8B6}"/>
            </a:ext>
          </a:extLst>
        </xdr:cNvPr>
        <xdr:cNvPicPr>
          <a:picLocks noChangeAspect="1"/>
        </xdr:cNvPicPr>
      </xdr:nvPicPr>
      <xdr:blipFill>
        <a:blip xmlns:r="http://schemas.openxmlformats.org/officeDocument/2006/relationships" r:embed="rId8"/>
        <a:stretch>
          <a:fillRect/>
        </a:stretch>
      </xdr:blipFill>
      <xdr:spPr>
        <a:xfrm>
          <a:off x="8318500" y="118567199"/>
          <a:ext cx="4076700" cy="2245139"/>
        </a:xfrm>
        <a:prstGeom prst="rect">
          <a:avLst/>
        </a:prstGeom>
      </xdr:spPr>
    </xdr:pic>
    <xdr:clientData/>
  </xdr:twoCellAnchor>
  <xdr:twoCellAnchor editAs="oneCell">
    <xdr:from>
      <xdr:col>7</xdr:col>
      <xdr:colOff>279400</xdr:colOff>
      <xdr:row>439</xdr:row>
      <xdr:rowOff>469901</xdr:rowOff>
    </xdr:from>
    <xdr:to>
      <xdr:col>9</xdr:col>
      <xdr:colOff>596900</xdr:colOff>
      <xdr:row>447</xdr:row>
      <xdr:rowOff>1289</xdr:rowOff>
    </xdr:to>
    <xdr:pic>
      <xdr:nvPicPr>
        <xdr:cNvPr id="37" name="Image 36">
          <a:extLst>
            <a:ext uri="{FF2B5EF4-FFF2-40B4-BE49-F238E27FC236}">
              <a16:creationId xmlns:a16="http://schemas.microsoft.com/office/drawing/2014/main" id="{4EEC78B3-AE31-BD4A-99C8-45C4B91B4F10}"/>
            </a:ext>
          </a:extLst>
        </xdr:cNvPr>
        <xdr:cNvPicPr>
          <a:picLocks noChangeAspect="1"/>
        </xdr:cNvPicPr>
      </xdr:nvPicPr>
      <xdr:blipFill>
        <a:blip xmlns:r="http://schemas.openxmlformats.org/officeDocument/2006/relationships" r:embed="rId8"/>
        <a:stretch>
          <a:fillRect/>
        </a:stretch>
      </xdr:blipFill>
      <xdr:spPr>
        <a:xfrm>
          <a:off x="10172700" y="108165901"/>
          <a:ext cx="2654300" cy="1461788"/>
        </a:xfrm>
        <a:prstGeom prst="rect">
          <a:avLst/>
        </a:prstGeom>
      </xdr:spPr>
    </xdr:pic>
    <xdr:clientData/>
  </xdr:twoCellAnchor>
  <xdr:twoCellAnchor editAs="oneCell">
    <xdr:from>
      <xdr:col>5</xdr:col>
      <xdr:colOff>1054100</xdr:colOff>
      <xdr:row>667</xdr:row>
      <xdr:rowOff>152400</xdr:rowOff>
    </xdr:from>
    <xdr:to>
      <xdr:col>8</xdr:col>
      <xdr:colOff>152400</xdr:colOff>
      <xdr:row>679</xdr:row>
      <xdr:rowOff>127000</xdr:rowOff>
    </xdr:to>
    <xdr:pic>
      <xdr:nvPicPr>
        <xdr:cNvPr id="40" name="Image 39">
          <a:extLst>
            <a:ext uri="{FF2B5EF4-FFF2-40B4-BE49-F238E27FC236}">
              <a16:creationId xmlns:a16="http://schemas.microsoft.com/office/drawing/2014/main" id="{6FC6C09F-7EF5-9A53-E024-1663A92059EF}"/>
            </a:ext>
          </a:extLst>
        </xdr:cNvPr>
        <xdr:cNvPicPr>
          <a:picLocks noChangeAspect="1"/>
        </xdr:cNvPicPr>
      </xdr:nvPicPr>
      <xdr:blipFill>
        <a:blip xmlns:r="http://schemas.openxmlformats.org/officeDocument/2006/relationships" r:embed="rId9"/>
        <a:stretch>
          <a:fillRect/>
        </a:stretch>
      </xdr:blipFill>
      <xdr:spPr>
        <a:xfrm>
          <a:off x="8610600" y="155181300"/>
          <a:ext cx="3492500" cy="3048000"/>
        </a:xfrm>
        <a:prstGeom prst="rect">
          <a:avLst/>
        </a:prstGeom>
      </xdr:spPr>
    </xdr:pic>
    <xdr:clientData/>
  </xdr:twoCellAnchor>
  <xdr:twoCellAnchor editAs="oneCell">
    <xdr:from>
      <xdr:col>8</xdr:col>
      <xdr:colOff>622300</xdr:colOff>
      <xdr:row>463</xdr:row>
      <xdr:rowOff>12700</xdr:rowOff>
    </xdr:from>
    <xdr:to>
      <xdr:col>13</xdr:col>
      <xdr:colOff>309468</xdr:colOff>
      <xdr:row>471</xdr:row>
      <xdr:rowOff>142250</xdr:rowOff>
    </xdr:to>
    <xdr:pic>
      <xdr:nvPicPr>
        <xdr:cNvPr id="10" name="Image 9">
          <a:extLst>
            <a:ext uri="{FF2B5EF4-FFF2-40B4-BE49-F238E27FC236}">
              <a16:creationId xmlns:a16="http://schemas.microsoft.com/office/drawing/2014/main" id="{D4DFE200-79E2-C84B-9125-E5E0956D511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10800000">
          <a:off x="11976100" y="105283000"/>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736600</xdr:colOff>
      <xdr:row>481</xdr:row>
      <xdr:rowOff>152400</xdr:rowOff>
    </xdr:from>
    <xdr:to>
      <xdr:col>11</xdr:col>
      <xdr:colOff>766144</xdr:colOff>
      <xdr:row>501</xdr:row>
      <xdr:rowOff>25400</xdr:rowOff>
    </xdr:to>
    <xdr:pic>
      <xdr:nvPicPr>
        <xdr:cNvPr id="12" name="Image 11" descr="Roue de la vie : accélérer son développement personnel - SelfKaizen">
          <a:extLst>
            <a:ext uri="{FF2B5EF4-FFF2-40B4-BE49-F238E27FC236}">
              <a16:creationId xmlns:a16="http://schemas.microsoft.com/office/drawing/2014/main" id="{94E6CB7E-107D-B44C-88F9-4E84077F02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922000" y="110947200"/>
          <a:ext cx="5325444" cy="429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1319374</xdr:colOff>
      <xdr:row>646</xdr:row>
      <xdr:rowOff>114300</xdr:rowOff>
    </xdr:from>
    <xdr:to>
      <xdr:col>9</xdr:col>
      <xdr:colOff>647700</xdr:colOff>
      <xdr:row>652</xdr:row>
      <xdr:rowOff>177800</xdr:rowOff>
    </xdr:to>
    <xdr:pic>
      <xdr:nvPicPr>
        <xdr:cNvPr id="13" name="image-item" descr="Maison de dessin animé">
          <a:extLst>
            <a:ext uri="{FF2B5EF4-FFF2-40B4-BE49-F238E27FC236}">
              <a16:creationId xmlns:a16="http://schemas.microsoft.com/office/drawing/2014/main" id="{5C757512-41F8-3B48-AF5F-20B9A559E4F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343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646</xdr:row>
      <xdr:rowOff>76200</xdr:rowOff>
    </xdr:from>
    <xdr:to>
      <xdr:col>4</xdr:col>
      <xdr:colOff>762000</xdr:colOff>
      <xdr:row>653</xdr:row>
      <xdr:rowOff>21492</xdr:rowOff>
    </xdr:to>
    <xdr:pic>
      <xdr:nvPicPr>
        <xdr:cNvPr id="15" name="Image 14" descr="Dessin maison moderne : 908 174 images, photos et images vectorielles de  stock | Shutterstock">
          <a:extLst>
            <a:ext uri="{FF2B5EF4-FFF2-40B4-BE49-F238E27FC236}">
              <a16:creationId xmlns:a16="http://schemas.microsoft.com/office/drawing/2014/main" id="{2412EA00-1EAC-1848-A52C-32107AE3365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647</xdr:row>
      <xdr:rowOff>25400</xdr:rowOff>
    </xdr:from>
    <xdr:to>
      <xdr:col>7</xdr:col>
      <xdr:colOff>711200</xdr:colOff>
      <xdr:row>648</xdr:row>
      <xdr:rowOff>63500</xdr:rowOff>
    </xdr:to>
    <xdr:sp macro="" textlink="">
      <xdr:nvSpPr>
        <xdr:cNvPr id="18" name="Flèche vers la droite 17">
          <a:extLst>
            <a:ext uri="{FF2B5EF4-FFF2-40B4-BE49-F238E27FC236}">
              <a16:creationId xmlns:a16="http://schemas.microsoft.com/office/drawing/2014/main" id="{D467D5E5-9268-4F4D-91F6-6D5C40699CD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650</xdr:row>
      <xdr:rowOff>101600</xdr:rowOff>
    </xdr:from>
    <xdr:to>
      <xdr:col>7</xdr:col>
      <xdr:colOff>774700</xdr:colOff>
      <xdr:row>651</xdr:row>
      <xdr:rowOff>114300</xdr:rowOff>
    </xdr:to>
    <xdr:sp macro="" textlink="">
      <xdr:nvSpPr>
        <xdr:cNvPr id="19" name="Flèche vers la droite 18">
          <a:extLst>
            <a:ext uri="{FF2B5EF4-FFF2-40B4-BE49-F238E27FC236}">
              <a16:creationId xmlns:a16="http://schemas.microsoft.com/office/drawing/2014/main" id="{11E8B8E6-7CA1-6F47-94AC-DA6BFBCF0CF9}"/>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787400</xdr:colOff>
      <xdr:row>604</xdr:row>
      <xdr:rowOff>25400</xdr:rowOff>
    </xdr:from>
    <xdr:to>
      <xdr:col>13</xdr:col>
      <xdr:colOff>2019300</xdr:colOff>
      <xdr:row>606</xdr:row>
      <xdr:rowOff>215900</xdr:rowOff>
    </xdr:to>
    <xdr:sp macro="" textlink="">
      <xdr:nvSpPr>
        <xdr:cNvPr id="23" name="ZoneTexte 22">
          <a:extLst>
            <a:ext uri="{FF2B5EF4-FFF2-40B4-BE49-F238E27FC236}">
              <a16:creationId xmlns:a16="http://schemas.microsoft.com/office/drawing/2014/main" id="{ECF1566E-43A2-3F72-BCA2-838C1F723E77}"/>
            </a:ext>
          </a:extLst>
        </xdr:cNvPr>
        <xdr:cNvSpPr txBox="1"/>
      </xdr:nvSpPr>
      <xdr:spPr>
        <a:xfrm>
          <a:off x="18110200" y="144360900"/>
          <a:ext cx="123190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l'enfant</a:t>
          </a:r>
        </a:p>
        <a:p>
          <a:r>
            <a:rPr lang="fr-CA" sz="1100"/>
            <a:t>Prendre un avatar du site web</a:t>
          </a:r>
        </a:p>
      </xdr:txBody>
    </xdr:sp>
    <xdr:clientData/>
  </xdr:twoCellAnchor>
  <xdr:twoCellAnchor>
    <xdr:from>
      <xdr:col>11</xdr:col>
      <xdr:colOff>825500</xdr:colOff>
      <xdr:row>608</xdr:row>
      <xdr:rowOff>165100</xdr:rowOff>
    </xdr:from>
    <xdr:to>
      <xdr:col>13</xdr:col>
      <xdr:colOff>215900</xdr:colOff>
      <xdr:row>610</xdr:row>
      <xdr:rowOff>50800</xdr:rowOff>
    </xdr:to>
    <xdr:sp macro="" textlink="">
      <xdr:nvSpPr>
        <xdr:cNvPr id="24" name="ZoneTexte 23">
          <a:extLst>
            <a:ext uri="{FF2B5EF4-FFF2-40B4-BE49-F238E27FC236}">
              <a16:creationId xmlns:a16="http://schemas.microsoft.com/office/drawing/2014/main" id="{4B13D34B-9058-4F46-975F-B736C9596CDA}"/>
            </a:ext>
          </a:extLst>
        </xdr:cNvPr>
        <xdr:cNvSpPr txBox="1"/>
      </xdr:nvSpPr>
      <xdr:spPr>
        <a:xfrm>
          <a:off x="16306800" y="1455547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coparent</a:t>
          </a:r>
          <a:endParaRPr lang="fr-CA" sz="1100"/>
        </a:p>
      </xdr:txBody>
    </xdr:sp>
    <xdr:clientData/>
  </xdr:twoCellAnchor>
  <xdr:twoCellAnchor>
    <xdr:from>
      <xdr:col>13</xdr:col>
      <xdr:colOff>2387600</xdr:colOff>
      <xdr:row>608</xdr:row>
      <xdr:rowOff>203200</xdr:rowOff>
    </xdr:from>
    <xdr:to>
      <xdr:col>14</xdr:col>
      <xdr:colOff>774700</xdr:colOff>
      <xdr:row>610</xdr:row>
      <xdr:rowOff>139700</xdr:rowOff>
    </xdr:to>
    <xdr:sp macro="" textlink="">
      <xdr:nvSpPr>
        <xdr:cNvPr id="25" name="ZoneTexte 24">
          <a:extLst>
            <a:ext uri="{FF2B5EF4-FFF2-40B4-BE49-F238E27FC236}">
              <a16:creationId xmlns:a16="http://schemas.microsoft.com/office/drawing/2014/main" id="{7C6175D6-41F5-A140-B9DC-CCDF9DE70919}"/>
            </a:ext>
          </a:extLst>
        </xdr:cNvPr>
        <xdr:cNvSpPr txBox="1"/>
      </xdr:nvSpPr>
      <xdr:spPr>
        <a:xfrm>
          <a:off x="19710400" y="145592800"/>
          <a:ext cx="11938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parent répondant</a:t>
          </a:r>
          <a:endParaRPr lang="fr-CA" sz="1100"/>
        </a:p>
      </xdr:txBody>
    </xdr:sp>
    <xdr:clientData/>
  </xdr:twoCellAnchor>
  <xdr:twoCellAnchor>
    <xdr:from>
      <xdr:col>15</xdr:col>
      <xdr:colOff>50800</xdr:colOff>
      <xdr:row>608</xdr:row>
      <xdr:rowOff>190500</xdr:rowOff>
    </xdr:from>
    <xdr:to>
      <xdr:col>16</xdr:col>
      <xdr:colOff>457200</xdr:colOff>
      <xdr:row>610</xdr:row>
      <xdr:rowOff>76200</xdr:rowOff>
    </xdr:to>
    <xdr:sp macro="" textlink="">
      <xdr:nvSpPr>
        <xdr:cNvPr id="26" name="ZoneTexte 25">
          <a:extLst>
            <a:ext uri="{FF2B5EF4-FFF2-40B4-BE49-F238E27FC236}">
              <a16:creationId xmlns:a16="http://schemas.microsoft.com/office/drawing/2014/main" id="{848357D0-4D54-C046-B67D-6B627DDBDA0A}"/>
            </a:ext>
          </a:extLst>
        </xdr:cNvPr>
        <xdr:cNvSpPr txBox="1"/>
      </xdr:nvSpPr>
      <xdr:spPr>
        <a:xfrm>
          <a:off x="21005800" y="1455801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famille élargie</a:t>
          </a:r>
        </a:p>
        <a:p>
          <a:endParaRPr lang="fr-CA" sz="1100"/>
        </a:p>
      </xdr:txBody>
    </xdr:sp>
    <xdr:clientData/>
  </xdr:twoCellAnchor>
  <xdr:twoCellAnchor>
    <xdr:from>
      <xdr:col>13</xdr:col>
      <xdr:colOff>2019300</xdr:colOff>
      <xdr:row>605</xdr:row>
      <xdr:rowOff>120650</xdr:rowOff>
    </xdr:from>
    <xdr:to>
      <xdr:col>15</xdr:col>
      <xdr:colOff>666750</xdr:colOff>
      <xdr:row>608</xdr:row>
      <xdr:rowOff>190500</xdr:rowOff>
    </xdr:to>
    <xdr:cxnSp macro="">
      <xdr:nvCxnSpPr>
        <xdr:cNvPr id="36" name="Connecteur en arc 35">
          <a:extLst>
            <a:ext uri="{FF2B5EF4-FFF2-40B4-BE49-F238E27FC236}">
              <a16:creationId xmlns:a16="http://schemas.microsoft.com/office/drawing/2014/main" id="{038CDEC6-6E1D-AD2C-7CFD-74EFA753D176}"/>
            </a:ext>
          </a:extLst>
        </xdr:cNvPr>
        <xdr:cNvCxnSpPr>
          <a:stCxn id="23" idx="3"/>
          <a:endCxn id="26" idx="0"/>
        </xdr:cNvCxnSpPr>
      </xdr:nvCxnSpPr>
      <xdr:spPr>
        <a:xfrm>
          <a:off x="19342100" y="144697450"/>
          <a:ext cx="2279650" cy="882650"/>
        </a:xfrm>
        <a:prstGeom prst="curvedConnector2">
          <a:avLst/>
        </a:prstGeom>
        <a:ln w="9525">
          <a:solidFill>
            <a:schemeClr val="bg1">
              <a:lumMod val="75000"/>
            </a:schemeClr>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2019300</xdr:colOff>
      <xdr:row>605</xdr:row>
      <xdr:rowOff>120650</xdr:rowOff>
    </xdr:from>
    <xdr:to>
      <xdr:col>14</xdr:col>
      <xdr:colOff>177800</xdr:colOff>
      <xdr:row>608</xdr:row>
      <xdr:rowOff>203200</xdr:rowOff>
    </xdr:to>
    <xdr:cxnSp macro="">
      <xdr:nvCxnSpPr>
        <xdr:cNvPr id="41" name="Connecteur en arc 40">
          <a:extLst>
            <a:ext uri="{FF2B5EF4-FFF2-40B4-BE49-F238E27FC236}">
              <a16:creationId xmlns:a16="http://schemas.microsoft.com/office/drawing/2014/main" id="{AAE60EB0-472A-695C-EC8C-F273B6FF40AB}"/>
            </a:ext>
          </a:extLst>
        </xdr:cNvPr>
        <xdr:cNvCxnSpPr>
          <a:stCxn id="23" idx="3"/>
          <a:endCxn id="25" idx="0"/>
        </xdr:cNvCxnSpPr>
      </xdr:nvCxnSpPr>
      <xdr:spPr>
        <a:xfrm>
          <a:off x="19342100" y="144697450"/>
          <a:ext cx="965200" cy="895350"/>
        </a:xfrm>
        <a:prstGeom prst="curvedConnector2">
          <a:avLst/>
        </a:prstGeom>
        <a:ln w="57150">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425450</xdr:colOff>
      <xdr:row>605</xdr:row>
      <xdr:rowOff>120650</xdr:rowOff>
    </xdr:from>
    <xdr:to>
      <xdr:col>13</xdr:col>
      <xdr:colOff>787400</xdr:colOff>
      <xdr:row>608</xdr:row>
      <xdr:rowOff>165100</xdr:rowOff>
    </xdr:to>
    <xdr:cxnSp macro="">
      <xdr:nvCxnSpPr>
        <xdr:cNvPr id="43" name="Connecteur en arc 42">
          <a:extLst>
            <a:ext uri="{FF2B5EF4-FFF2-40B4-BE49-F238E27FC236}">
              <a16:creationId xmlns:a16="http://schemas.microsoft.com/office/drawing/2014/main" id="{73B9D5C2-2576-786A-EAF0-9F3B09739398}"/>
            </a:ext>
          </a:extLst>
        </xdr:cNvPr>
        <xdr:cNvCxnSpPr>
          <a:stCxn id="23" idx="1"/>
          <a:endCxn id="24" idx="0"/>
        </xdr:cNvCxnSpPr>
      </xdr:nvCxnSpPr>
      <xdr:spPr>
        <a:xfrm rot="10800000" flipV="1">
          <a:off x="16922750" y="144697450"/>
          <a:ext cx="1187450" cy="857250"/>
        </a:xfrm>
        <a:prstGeom prst="curvedConnector2">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774700</xdr:colOff>
      <xdr:row>610</xdr:row>
      <xdr:rowOff>203200</xdr:rowOff>
    </xdr:from>
    <xdr:to>
      <xdr:col>13</xdr:col>
      <xdr:colOff>241300</xdr:colOff>
      <xdr:row>614</xdr:row>
      <xdr:rowOff>139700</xdr:rowOff>
    </xdr:to>
    <xdr:sp macro="" textlink="">
      <xdr:nvSpPr>
        <xdr:cNvPr id="48" name="ZoneTexte 47">
          <a:extLst>
            <a:ext uri="{FF2B5EF4-FFF2-40B4-BE49-F238E27FC236}">
              <a16:creationId xmlns:a16="http://schemas.microsoft.com/office/drawing/2014/main" id="{08F9A154-A3AA-CE09-D486-2117EDF1A97E}"/>
            </a:ext>
          </a:extLst>
        </xdr:cNvPr>
        <xdr:cNvSpPr txBox="1"/>
      </xdr:nvSpPr>
      <xdr:spPr>
        <a:xfrm>
          <a:off x="16256000" y="1462405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chemeClr val="accent6"/>
              </a:solidFill>
            </a:rPr>
            <a:t>amélioration en vert</a:t>
          </a:r>
        </a:p>
        <a:p>
          <a:r>
            <a:rPr lang="fr-CA" sz="1100">
              <a:solidFill>
                <a:schemeClr val="accent6"/>
              </a:solidFill>
            </a:rPr>
            <a:t>grosseur</a:t>
          </a:r>
          <a:r>
            <a:rPr lang="fr-CA" sz="1100" baseline="0">
              <a:solidFill>
                <a:schemeClr val="accent6"/>
              </a:solidFill>
            </a:rPr>
            <a:t> du trait pourrait être l'amplitude du changement</a:t>
          </a:r>
        </a:p>
        <a:p>
          <a:endParaRPr lang="fr-CA" sz="1100"/>
        </a:p>
      </xdr:txBody>
    </xdr:sp>
    <xdr:clientData/>
  </xdr:twoCellAnchor>
  <xdr:twoCellAnchor>
    <xdr:from>
      <xdr:col>13</xdr:col>
      <xdr:colOff>533400</xdr:colOff>
      <xdr:row>610</xdr:row>
      <xdr:rowOff>228600</xdr:rowOff>
    </xdr:from>
    <xdr:to>
      <xdr:col>13</xdr:col>
      <xdr:colOff>1841500</xdr:colOff>
      <xdr:row>614</xdr:row>
      <xdr:rowOff>165100</xdr:rowOff>
    </xdr:to>
    <xdr:sp macro="" textlink="">
      <xdr:nvSpPr>
        <xdr:cNvPr id="50" name="ZoneTexte 49">
          <a:extLst>
            <a:ext uri="{FF2B5EF4-FFF2-40B4-BE49-F238E27FC236}">
              <a16:creationId xmlns:a16="http://schemas.microsoft.com/office/drawing/2014/main" id="{A8D60A4A-5EDB-3340-BFE2-BA3D18EA92EF}"/>
            </a:ext>
          </a:extLst>
        </xdr:cNvPr>
        <xdr:cNvSpPr txBox="1"/>
      </xdr:nvSpPr>
      <xdr:spPr>
        <a:xfrm>
          <a:off x="17856200" y="1462659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rgbClr val="FF0000"/>
              </a:solidFill>
            </a:rPr>
            <a:t>dégradation en rouge</a:t>
          </a:r>
        </a:p>
        <a:p>
          <a:r>
            <a:rPr lang="fr-CA" sz="1100">
              <a:solidFill>
                <a:srgbClr val="FF0000"/>
              </a:solidFill>
            </a:rPr>
            <a:t>grosseur</a:t>
          </a:r>
          <a:r>
            <a:rPr lang="fr-CA" sz="1100" baseline="0">
              <a:solidFill>
                <a:srgbClr val="FF0000"/>
              </a:solidFill>
            </a:rPr>
            <a:t> du trait pourrait être l'amplitude du changement</a:t>
          </a:r>
        </a:p>
        <a:p>
          <a:endParaRPr lang="fr-CA" sz="1100"/>
        </a:p>
      </xdr:txBody>
    </xdr:sp>
    <xdr:clientData/>
  </xdr:twoCellAnchor>
  <xdr:twoCellAnchor>
    <xdr:from>
      <xdr:col>13</xdr:col>
      <xdr:colOff>2006600</xdr:colOff>
      <xdr:row>610</xdr:row>
      <xdr:rowOff>254000</xdr:rowOff>
    </xdr:from>
    <xdr:to>
      <xdr:col>14</xdr:col>
      <xdr:colOff>292100</xdr:colOff>
      <xdr:row>612</xdr:row>
      <xdr:rowOff>177800</xdr:rowOff>
    </xdr:to>
    <xdr:sp macro="" textlink="">
      <xdr:nvSpPr>
        <xdr:cNvPr id="51" name="ZoneTexte 50">
          <a:extLst>
            <a:ext uri="{FF2B5EF4-FFF2-40B4-BE49-F238E27FC236}">
              <a16:creationId xmlns:a16="http://schemas.microsoft.com/office/drawing/2014/main" id="{75A8FD67-41D9-4E49-A242-D68B9A74BEF6}"/>
            </a:ext>
          </a:extLst>
        </xdr:cNvPr>
        <xdr:cNvSpPr txBox="1"/>
      </xdr:nvSpPr>
      <xdr:spPr>
        <a:xfrm>
          <a:off x="19329400" y="146291300"/>
          <a:ext cx="1092200" cy="533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accent2"/>
              </a:solidFill>
            </a:rPr>
            <a:t>Peu ou pas de changement </a:t>
          </a:r>
        </a:p>
        <a:p>
          <a:endParaRPr lang="fr-CA" sz="1100"/>
        </a:p>
      </xdr:txBody>
    </xdr:sp>
    <xdr:clientData/>
  </xdr:twoCellAnchor>
  <xdr:twoCellAnchor>
    <xdr:from>
      <xdr:col>14</xdr:col>
      <xdr:colOff>495300</xdr:colOff>
      <xdr:row>610</xdr:row>
      <xdr:rowOff>279400</xdr:rowOff>
    </xdr:from>
    <xdr:to>
      <xdr:col>16</xdr:col>
      <xdr:colOff>444500</xdr:colOff>
      <xdr:row>614</xdr:row>
      <xdr:rowOff>266700</xdr:rowOff>
    </xdr:to>
    <xdr:sp macro="" textlink="">
      <xdr:nvSpPr>
        <xdr:cNvPr id="52" name="ZoneTexte 51">
          <a:extLst>
            <a:ext uri="{FF2B5EF4-FFF2-40B4-BE49-F238E27FC236}">
              <a16:creationId xmlns:a16="http://schemas.microsoft.com/office/drawing/2014/main" id="{3E46103E-3682-A54A-866A-DFB5A08A4F87}"/>
            </a:ext>
          </a:extLst>
        </xdr:cNvPr>
        <xdr:cNvSpPr txBox="1"/>
      </xdr:nvSpPr>
      <xdr:spPr>
        <a:xfrm>
          <a:off x="20624800" y="146316700"/>
          <a:ext cx="1600200" cy="12065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bg1">
                  <a:lumMod val="65000"/>
                </a:schemeClr>
              </a:solidFill>
            </a:rPr>
            <a:t>Trait gris, on ne peut statuer car il n'y avait pas de relation avant ou aucune réponse n'a été donné dans le questionnaire.</a:t>
          </a:r>
        </a:p>
        <a:p>
          <a:endParaRPr lang="fr-CA" sz="1100" baseline="0">
            <a:solidFill>
              <a:schemeClr val="accent2"/>
            </a:solidFill>
          </a:endParaRPr>
        </a:p>
        <a:p>
          <a:endParaRPr lang="fr-C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2610554</xdr:colOff>
      <xdr:row>5</xdr:row>
      <xdr:rowOff>123471</xdr:rowOff>
    </xdr:from>
    <xdr:to>
      <xdr:col>1</xdr:col>
      <xdr:colOff>4938535</xdr:colOff>
      <xdr:row>5</xdr:row>
      <xdr:rowOff>1405547</xdr:rowOff>
    </xdr:to>
    <xdr:pic>
      <xdr:nvPicPr>
        <xdr:cNvPr id="2" name="Image 1">
          <a:extLst>
            <a:ext uri="{FF2B5EF4-FFF2-40B4-BE49-F238E27FC236}">
              <a16:creationId xmlns:a16="http://schemas.microsoft.com/office/drawing/2014/main" id="{A9A99A28-38D4-0549-8669-B0428565AEF8}"/>
            </a:ext>
          </a:extLst>
        </xdr:cNvPr>
        <xdr:cNvPicPr>
          <a:picLocks noChangeAspect="1"/>
        </xdr:cNvPicPr>
      </xdr:nvPicPr>
      <xdr:blipFill>
        <a:blip xmlns:r="http://schemas.openxmlformats.org/officeDocument/2006/relationships" r:embed="rId1"/>
        <a:stretch>
          <a:fillRect/>
        </a:stretch>
      </xdr:blipFill>
      <xdr:spPr>
        <a:xfrm>
          <a:off x="5362221" y="970138"/>
          <a:ext cx="2327981" cy="1282076"/>
        </a:xfrm>
        <a:prstGeom prst="rect">
          <a:avLst/>
        </a:prstGeom>
      </xdr:spPr>
    </xdr:pic>
    <xdr:clientData/>
  </xdr:twoCellAnchor>
  <xdr:twoCellAnchor editAs="oneCell">
    <xdr:from>
      <xdr:col>1</xdr:col>
      <xdr:colOff>141112</xdr:colOff>
      <xdr:row>69</xdr:row>
      <xdr:rowOff>114653</xdr:rowOff>
    </xdr:from>
    <xdr:to>
      <xdr:col>1</xdr:col>
      <xdr:colOff>4744862</xdr:colOff>
      <xdr:row>69</xdr:row>
      <xdr:rowOff>2536226</xdr:rowOff>
    </xdr:to>
    <xdr:pic>
      <xdr:nvPicPr>
        <xdr:cNvPr id="3" name="Image 2">
          <a:extLst>
            <a:ext uri="{FF2B5EF4-FFF2-40B4-BE49-F238E27FC236}">
              <a16:creationId xmlns:a16="http://schemas.microsoft.com/office/drawing/2014/main" id="{F36ED975-0543-D6AA-8261-7AAE9D48B2CD}"/>
            </a:ext>
          </a:extLst>
        </xdr:cNvPr>
        <xdr:cNvPicPr>
          <a:picLocks noChangeAspect="1"/>
        </xdr:cNvPicPr>
      </xdr:nvPicPr>
      <xdr:blipFill>
        <a:blip xmlns:r="http://schemas.openxmlformats.org/officeDocument/2006/relationships" r:embed="rId2"/>
        <a:stretch>
          <a:fillRect/>
        </a:stretch>
      </xdr:blipFill>
      <xdr:spPr>
        <a:xfrm>
          <a:off x="2892779" y="22242639"/>
          <a:ext cx="4603750" cy="2421573"/>
        </a:xfrm>
        <a:prstGeom prst="rect">
          <a:avLst/>
        </a:prstGeom>
      </xdr:spPr>
    </xdr:pic>
    <xdr:clientData/>
  </xdr:twoCellAnchor>
  <xdr:oneCellAnchor>
    <xdr:from>
      <xdr:col>1</xdr:col>
      <xdr:colOff>141112</xdr:colOff>
      <xdr:row>91</xdr:row>
      <xdr:rowOff>114653</xdr:rowOff>
    </xdr:from>
    <xdr:ext cx="4603750" cy="2421573"/>
    <xdr:pic>
      <xdr:nvPicPr>
        <xdr:cNvPr id="4" name="Image 3">
          <a:extLst>
            <a:ext uri="{FF2B5EF4-FFF2-40B4-BE49-F238E27FC236}">
              <a16:creationId xmlns:a16="http://schemas.microsoft.com/office/drawing/2014/main" id="{0EF78345-7A38-D141-A371-4474CFA44FF2}"/>
            </a:ext>
          </a:extLst>
        </xdr:cNvPr>
        <xdr:cNvPicPr>
          <a:picLocks noChangeAspect="1"/>
        </xdr:cNvPicPr>
      </xdr:nvPicPr>
      <xdr:blipFill>
        <a:blip xmlns:r="http://schemas.openxmlformats.org/officeDocument/2006/relationships" r:embed="rId2"/>
        <a:stretch>
          <a:fillRect/>
        </a:stretch>
      </xdr:blipFill>
      <xdr:spPr>
        <a:xfrm>
          <a:off x="2892779" y="22242639"/>
          <a:ext cx="4603750" cy="2421573"/>
        </a:xfrm>
        <a:prstGeom prst="rect">
          <a:avLst/>
        </a:prstGeom>
      </xdr:spPr>
    </xdr:pic>
    <xdr:clientData/>
  </xdr:oneCellAnchor>
  <xdr:twoCellAnchor editAs="oneCell">
    <xdr:from>
      <xdr:col>0</xdr:col>
      <xdr:colOff>2725209</xdr:colOff>
      <xdr:row>114</xdr:row>
      <xdr:rowOff>8820</xdr:rowOff>
    </xdr:from>
    <xdr:to>
      <xdr:col>1</xdr:col>
      <xdr:colOff>3448402</xdr:colOff>
      <xdr:row>114</xdr:row>
      <xdr:rowOff>3225276</xdr:rowOff>
    </xdr:to>
    <xdr:pic>
      <xdr:nvPicPr>
        <xdr:cNvPr id="6" name="Image 5">
          <a:extLst>
            <a:ext uri="{FF2B5EF4-FFF2-40B4-BE49-F238E27FC236}">
              <a16:creationId xmlns:a16="http://schemas.microsoft.com/office/drawing/2014/main" id="{65EE3D19-B127-F34F-9C8D-F417C2D4EF99}"/>
            </a:ext>
          </a:extLst>
        </xdr:cNvPr>
        <xdr:cNvPicPr>
          <a:picLocks noChangeAspect="1"/>
        </xdr:cNvPicPr>
      </xdr:nvPicPr>
      <xdr:blipFill>
        <a:blip xmlns:r="http://schemas.openxmlformats.org/officeDocument/2006/relationships" r:embed="rId3"/>
        <a:stretch>
          <a:fillRect/>
        </a:stretch>
      </xdr:blipFill>
      <xdr:spPr>
        <a:xfrm>
          <a:off x="2725209" y="43285834"/>
          <a:ext cx="3474860" cy="3216456"/>
        </a:xfrm>
        <a:prstGeom prst="rect">
          <a:avLst/>
        </a:prstGeom>
      </xdr:spPr>
    </xdr:pic>
    <xdr:clientData/>
  </xdr:twoCellAnchor>
  <xdr:twoCellAnchor editAs="oneCell">
    <xdr:from>
      <xdr:col>1</xdr:col>
      <xdr:colOff>4198056</xdr:colOff>
      <xdr:row>114</xdr:row>
      <xdr:rowOff>414514</xdr:rowOff>
    </xdr:from>
    <xdr:to>
      <xdr:col>1</xdr:col>
      <xdr:colOff>7822848</xdr:colOff>
      <xdr:row>114</xdr:row>
      <xdr:rowOff>3051032</xdr:rowOff>
    </xdr:to>
    <xdr:pic>
      <xdr:nvPicPr>
        <xdr:cNvPr id="7" name="Image 6" descr="Roue de la vie : accélérer son développement personnel - SelfKaizen">
          <a:extLst>
            <a:ext uri="{FF2B5EF4-FFF2-40B4-BE49-F238E27FC236}">
              <a16:creationId xmlns:a16="http://schemas.microsoft.com/office/drawing/2014/main" id="{618E917F-F444-084C-B983-29478B98EAF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49723" y="43691528"/>
          <a:ext cx="3624792" cy="2636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1305277</xdr:colOff>
      <xdr:row>226</xdr:row>
      <xdr:rowOff>105833</xdr:rowOff>
    </xdr:from>
    <xdr:to>
      <xdr:col>1</xdr:col>
      <xdr:colOff>3372719</xdr:colOff>
      <xdr:row>226</xdr:row>
      <xdr:rowOff>1244424</xdr:rowOff>
    </xdr:to>
    <xdr:pic>
      <xdr:nvPicPr>
        <xdr:cNvPr id="8" name="Image 7">
          <a:extLst>
            <a:ext uri="{FF2B5EF4-FFF2-40B4-BE49-F238E27FC236}">
              <a16:creationId xmlns:a16="http://schemas.microsoft.com/office/drawing/2014/main" id="{5DB6FDA5-636E-3147-A11C-37FC06A13DCD}"/>
            </a:ext>
          </a:extLst>
        </xdr:cNvPr>
        <xdr:cNvPicPr>
          <a:picLocks noChangeAspect="1"/>
        </xdr:cNvPicPr>
      </xdr:nvPicPr>
      <xdr:blipFill>
        <a:blip xmlns:r="http://schemas.openxmlformats.org/officeDocument/2006/relationships" r:embed="rId1"/>
        <a:stretch>
          <a:fillRect/>
        </a:stretch>
      </xdr:blipFill>
      <xdr:spPr>
        <a:xfrm>
          <a:off x="4056944" y="54027916"/>
          <a:ext cx="2067442" cy="1138591"/>
        </a:xfrm>
        <a:prstGeom prst="rect">
          <a:avLst/>
        </a:prstGeom>
      </xdr:spPr>
    </xdr:pic>
    <xdr:clientData/>
  </xdr:twoCellAnchor>
  <xdr:twoCellAnchor editAs="oneCell">
    <xdr:from>
      <xdr:col>1</xdr:col>
      <xdr:colOff>2566457</xdr:colOff>
      <xdr:row>285</xdr:row>
      <xdr:rowOff>696736</xdr:rowOff>
    </xdr:from>
    <xdr:to>
      <xdr:col>1</xdr:col>
      <xdr:colOff>3825998</xdr:colOff>
      <xdr:row>285</xdr:row>
      <xdr:rowOff>1481667</xdr:rowOff>
    </xdr:to>
    <xdr:pic>
      <xdr:nvPicPr>
        <xdr:cNvPr id="10" name="Image 9">
          <a:extLst>
            <a:ext uri="{FF2B5EF4-FFF2-40B4-BE49-F238E27FC236}">
              <a16:creationId xmlns:a16="http://schemas.microsoft.com/office/drawing/2014/main" id="{FD771A07-DBC6-FE37-75C2-A92E14E9134D}"/>
            </a:ext>
          </a:extLst>
        </xdr:cNvPr>
        <xdr:cNvPicPr>
          <a:picLocks noChangeAspect="1"/>
        </xdr:cNvPicPr>
      </xdr:nvPicPr>
      <xdr:blipFill>
        <a:blip xmlns:r="http://schemas.openxmlformats.org/officeDocument/2006/relationships" r:embed="rId5"/>
        <a:stretch>
          <a:fillRect/>
        </a:stretch>
      </xdr:blipFill>
      <xdr:spPr>
        <a:xfrm>
          <a:off x="5318124" y="69232639"/>
          <a:ext cx="1259541" cy="784931"/>
        </a:xfrm>
        <a:prstGeom prst="rect">
          <a:avLst/>
        </a:prstGeom>
      </xdr:spPr>
    </xdr:pic>
    <xdr:clientData/>
  </xdr:twoCellAnchor>
  <xdr:twoCellAnchor editAs="oneCell">
    <xdr:from>
      <xdr:col>1</xdr:col>
      <xdr:colOff>2345974</xdr:colOff>
      <xdr:row>285</xdr:row>
      <xdr:rowOff>79376</xdr:rowOff>
    </xdr:from>
    <xdr:to>
      <xdr:col>1</xdr:col>
      <xdr:colOff>3871738</xdr:colOff>
      <xdr:row>285</xdr:row>
      <xdr:rowOff>1247343</xdr:rowOff>
    </xdr:to>
    <xdr:pic>
      <xdr:nvPicPr>
        <xdr:cNvPr id="9" name="Image 8">
          <a:extLst>
            <a:ext uri="{FF2B5EF4-FFF2-40B4-BE49-F238E27FC236}">
              <a16:creationId xmlns:a16="http://schemas.microsoft.com/office/drawing/2014/main" id="{900DB97E-05E8-CA4A-BAC2-EEDFD880365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7641" y="68615279"/>
          <a:ext cx="1525764" cy="1167967"/>
        </a:xfrm>
        <a:prstGeom prst="rect">
          <a:avLst/>
        </a:prstGeom>
      </xdr:spPr>
    </xdr:pic>
    <xdr:clientData/>
  </xdr:twoCellAnchor>
  <xdr:twoCellAnchor editAs="oneCell">
    <xdr:from>
      <xdr:col>1</xdr:col>
      <xdr:colOff>114651</xdr:colOff>
      <xdr:row>355</xdr:row>
      <xdr:rowOff>35278</xdr:rowOff>
    </xdr:from>
    <xdr:to>
      <xdr:col>1</xdr:col>
      <xdr:colOff>3404304</xdr:colOff>
      <xdr:row>355</xdr:row>
      <xdr:rowOff>1952574</xdr:rowOff>
    </xdr:to>
    <xdr:pic>
      <xdr:nvPicPr>
        <xdr:cNvPr id="5" name="Image 4">
          <a:extLst>
            <a:ext uri="{FF2B5EF4-FFF2-40B4-BE49-F238E27FC236}">
              <a16:creationId xmlns:a16="http://schemas.microsoft.com/office/drawing/2014/main" id="{9ACAF301-C507-5848-8691-361C29249C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6318" y="103434445"/>
          <a:ext cx="3289653" cy="19172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21</xdr:col>
      <xdr:colOff>825500</xdr:colOff>
      <xdr:row>35</xdr:row>
      <xdr:rowOff>50800</xdr:rowOff>
    </xdr:from>
    <xdr:to>
      <xdr:col>21</xdr:col>
      <xdr:colOff>1003300</xdr:colOff>
      <xdr:row>35</xdr:row>
      <xdr:rowOff>254000</xdr:rowOff>
    </xdr:to>
    <xdr:sp macro="" textlink="">
      <xdr:nvSpPr>
        <xdr:cNvPr id="3" name="Flèche vers le bas 2">
          <a:extLst>
            <a:ext uri="{FF2B5EF4-FFF2-40B4-BE49-F238E27FC236}">
              <a16:creationId xmlns:a16="http://schemas.microsoft.com/office/drawing/2014/main" id="{731CDAB7-3397-6449-BF85-C5D4056D5640}"/>
            </a:ext>
          </a:extLst>
        </xdr:cNvPr>
        <xdr:cNvSpPr/>
      </xdr:nvSpPr>
      <xdr:spPr>
        <a:xfrm>
          <a:off x="218186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977900</xdr:colOff>
      <xdr:row>35</xdr:row>
      <xdr:rowOff>50800</xdr:rowOff>
    </xdr:from>
    <xdr:to>
      <xdr:col>22</xdr:col>
      <xdr:colOff>1155700</xdr:colOff>
      <xdr:row>35</xdr:row>
      <xdr:rowOff>254000</xdr:rowOff>
    </xdr:to>
    <xdr:sp macro="" textlink="">
      <xdr:nvSpPr>
        <xdr:cNvPr id="4" name="Flèche vers le bas 3">
          <a:extLst>
            <a:ext uri="{FF2B5EF4-FFF2-40B4-BE49-F238E27FC236}">
              <a16:creationId xmlns:a16="http://schemas.microsoft.com/office/drawing/2014/main" id="{27365D5A-99B5-0546-94F3-CA11B6E5A1F7}"/>
            </a:ext>
          </a:extLst>
        </xdr:cNvPr>
        <xdr:cNvSpPr/>
      </xdr:nvSpPr>
      <xdr:spPr>
        <a:xfrm>
          <a:off x="239014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668421</xdr:colOff>
      <xdr:row>35</xdr:row>
      <xdr:rowOff>53474</xdr:rowOff>
    </xdr:from>
    <xdr:to>
      <xdr:col>19</xdr:col>
      <xdr:colOff>846221</xdr:colOff>
      <xdr:row>35</xdr:row>
      <xdr:rowOff>256674</xdr:rowOff>
    </xdr:to>
    <xdr:sp macro="" textlink="">
      <xdr:nvSpPr>
        <xdr:cNvPr id="5" name="Flèche vers le bas 4">
          <a:extLst>
            <a:ext uri="{FF2B5EF4-FFF2-40B4-BE49-F238E27FC236}">
              <a16:creationId xmlns:a16="http://schemas.microsoft.com/office/drawing/2014/main" id="{ABAB0EDB-9F92-2C47-8F81-0FFB58D0ABC3}"/>
            </a:ext>
          </a:extLst>
        </xdr:cNvPr>
        <xdr:cNvSpPr/>
      </xdr:nvSpPr>
      <xdr:spPr>
        <a:xfrm>
          <a:off x="28367789"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18</xdr:col>
      <xdr:colOff>641685</xdr:colOff>
      <xdr:row>35</xdr:row>
      <xdr:rowOff>40105</xdr:rowOff>
    </xdr:from>
    <xdr:to>
      <xdr:col>18</xdr:col>
      <xdr:colOff>819485</xdr:colOff>
      <xdr:row>35</xdr:row>
      <xdr:rowOff>243305</xdr:rowOff>
    </xdr:to>
    <xdr:sp macro="" textlink="">
      <xdr:nvSpPr>
        <xdr:cNvPr id="6" name="Flèche vers le bas 5">
          <a:extLst>
            <a:ext uri="{FF2B5EF4-FFF2-40B4-BE49-F238E27FC236}">
              <a16:creationId xmlns:a16="http://schemas.microsoft.com/office/drawing/2014/main" id="{70F6FA63-960C-6F48-9B62-29615A986F29}"/>
            </a:ext>
          </a:extLst>
        </xdr:cNvPr>
        <xdr:cNvSpPr/>
      </xdr:nvSpPr>
      <xdr:spPr>
        <a:xfrm>
          <a:off x="26870527" y="14157158"/>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20</xdr:col>
      <xdr:colOff>762000</xdr:colOff>
      <xdr:row>35</xdr:row>
      <xdr:rowOff>40106</xdr:rowOff>
    </xdr:from>
    <xdr:to>
      <xdr:col>20</xdr:col>
      <xdr:colOff>939800</xdr:colOff>
      <xdr:row>35</xdr:row>
      <xdr:rowOff>243306</xdr:rowOff>
    </xdr:to>
    <xdr:sp macro="" textlink="">
      <xdr:nvSpPr>
        <xdr:cNvPr id="7" name="Flèche vers le bas 6">
          <a:extLst>
            <a:ext uri="{FF2B5EF4-FFF2-40B4-BE49-F238E27FC236}">
              <a16:creationId xmlns:a16="http://schemas.microsoft.com/office/drawing/2014/main" id="{05FC8AB3-6A30-1642-A9DC-93C29EB5452C}"/>
            </a:ext>
          </a:extLst>
        </xdr:cNvPr>
        <xdr:cNvSpPr/>
      </xdr:nvSpPr>
      <xdr:spPr>
        <a:xfrm>
          <a:off x="30012105" y="14157159"/>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23</xdr:col>
      <xdr:colOff>628316</xdr:colOff>
      <xdr:row>35</xdr:row>
      <xdr:rowOff>53474</xdr:rowOff>
    </xdr:from>
    <xdr:to>
      <xdr:col>23</xdr:col>
      <xdr:colOff>806116</xdr:colOff>
      <xdr:row>35</xdr:row>
      <xdr:rowOff>256674</xdr:rowOff>
    </xdr:to>
    <xdr:sp macro="" textlink="">
      <xdr:nvSpPr>
        <xdr:cNvPr id="8" name="Flèche vers le bas 7">
          <a:extLst>
            <a:ext uri="{FF2B5EF4-FFF2-40B4-BE49-F238E27FC236}">
              <a16:creationId xmlns:a16="http://schemas.microsoft.com/office/drawing/2014/main" id="{7CD48C6D-0F8E-C24E-A9AC-3B19E3583CAB}"/>
            </a:ext>
          </a:extLst>
        </xdr:cNvPr>
        <xdr:cNvSpPr/>
      </xdr:nvSpPr>
      <xdr:spPr>
        <a:xfrm>
          <a:off x="34530632"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24</xdr:col>
      <xdr:colOff>1323474</xdr:colOff>
      <xdr:row>35</xdr:row>
      <xdr:rowOff>26737</xdr:rowOff>
    </xdr:from>
    <xdr:to>
      <xdr:col>24</xdr:col>
      <xdr:colOff>1501274</xdr:colOff>
      <xdr:row>35</xdr:row>
      <xdr:rowOff>229937</xdr:rowOff>
    </xdr:to>
    <xdr:sp macro="" textlink="">
      <xdr:nvSpPr>
        <xdr:cNvPr id="10" name="Flèche vers le bas 9">
          <a:extLst>
            <a:ext uri="{FF2B5EF4-FFF2-40B4-BE49-F238E27FC236}">
              <a16:creationId xmlns:a16="http://schemas.microsoft.com/office/drawing/2014/main" id="{2AAD0E6B-2219-3748-BE37-C72811150E3E}"/>
            </a:ext>
          </a:extLst>
        </xdr:cNvPr>
        <xdr:cNvSpPr/>
      </xdr:nvSpPr>
      <xdr:spPr>
        <a:xfrm>
          <a:off x="38287158"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25</xdr:col>
      <xdr:colOff>1323474</xdr:colOff>
      <xdr:row>35</xdr:row>
      <xdr:rowOff>26737</xdr:rowOff>
    </xdr:from>
    <xdr:to>
      <xdr:col>25</xdr:col>
      <xdr:colOff>1501274</xdr:colOff>
      <xdr:row>35</xdr:row>
      <xdr:rowOff>229937</xdr:rowOff>
    </xdr:to>
    <xdr:sp macro="" textlink="">
      <xdr:nvSpPr>
        <xdr:cNvPr id="11" name="Flèche vers le bas 10">
          <a:extLst>
            <a:ext uri="{FF2B5EF4-FFF2-40B4-BE49-F238E27FC236}">
              <a16:creationId xmlns:a16="http://schemas.microsoft.com/office/drawing/2014/main" id="{321730C3-54EF-C24C-908F-53297A8B95F4}"/>
            </a:ext>
          </a:extLst>
        </xdr:cNvPr>
        <xdr:cNvSpPr/>
      </xdr:nvSpPr>
      <xdr:spPr>
        <a:xfrm>
          <a:off x="38487685"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3</xdr:col>
      <xdr:colOff>955915</xdr:colOff>
      <xdr:row>1</xdr:row>
      <xdr:rowOff>122903</xdr:rowOff>
    </xdr:from>
    <xdr:to>
      <xdr:col>13</xdr:col>
      <xdr:colOff>250120</xdr:colOff>
      <xdr:row>2</xdr:row>
      <xdr:rowOff>423334</xdr:rowOff>
    </xdr:to>
    <xdr:pic>
      <xdr:nvPicPr>
        <xdr:cNvPr id="19" name="Image 18">
          <a:extLst>
            <a:ext uri="{FF2B5EF4-FFF2-40B4-BE49-F238E27FC236}">
              <a16:creationId xmlns:a16="http://schemas.microsoft.com/office/drawing/2014/main" id="{4B4F64E2-234D-B84E-90F1-224C40D6C50C}"/>
            </a:ext>
          </a:extLst>
        </xdr:cNvPr>
        <xdr:cNvPicPr>
          <a:picLocks noChangeAspect="1"/>
        </xdr:cNvPicPr>
      </xdr:nvPicPr>
      <xdr:blipFill>
        <a:blip xmlns:r="http://schemas.openxmlformats.org/officeDocument/2006/relationships" r:embed="rId1"/>
        <a:stretch>
          <a:fillRect/>
        </a:stretch>
      </xdr:blipFill>
      <xdr:spPr>
        <a:xfrm>
          <a:off x="7551721" y="655484"/>
          <a:ext cx="2380442" cy="13109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21</xdr:col>
      <xdr:colOff>1051505</xdr:colOff>
      <xdr:row>125</xdr:row>
      <xdr:rowOff>95592</xdr:rowOff>
    </xdr:from>
    <xdr:to>
      <xdr:col>21</xdr:col>
      <xdr:colOff>1229305</xdr:colOff>
      <xdr:row>125</xdr:row>
      <xdr:rowOff>298792</xdr:rowOff>
    </xdr:to>
    <xdr:sp macro="" textlink="">
      <xdr:nvSpPr>
        <xdr:cNvPr id="19" name="Flèche vers le bas 18">
          <a:extLst>
            <a:ext uri="{FF2B5EF4-FFF2-40B4-BE49-F238E27FC236}">
              <a16:creationId xmlns:a16="http://schemas.microsoft.com/office/drawing/2014/main" id="{5B038F1F-8439-0A46-88CA-09EB0BF1244A}"/>
            </a:ext>
          </a:extLst>
        </xdr:cNvPr>
        <xdr:cNvSpPr/>
      </xdr:nvSpPr>
      <xdr:spPr>
        <a:xfrm>
          <a:off x="460095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1051505</xdr:colOff>
      <xdr:row>125</xdr:row>
      <xdr:rowOff>95592</xdr:rowOff>
    </xdr:from>
    <xdr:to>
      <xdr:col>22</xdr:col>
      <xdr:colOff>1229305</xdr:colOff>
      <xdr:row>125</xdr:row>
      <xdr:rowOff>298792</xdr:rowOff>
    </xdr:to>
    <xdr:sp macro="" textlink="">
      <xdr:nvSpPr>
        <xdr:cNvPr id="23" name="Flèche vers le bas 22">
          <a:extLst>
            <a:ext uri="{FF2B5EF4-FFF2-40B4-BE49-F238E27FC236}">
              <a16:creationId xmlns:a16="http://schemas.microsoft.com/office/drawing/2014/main" id="{B3365E19-B242-6E40-9B79-A6627DAC2F62}"/>
            </a:ext>
          </a:extLst>
        </xdr:cNvPr>
        <xdr:cNvSpPr/>
      </xdr:nvSpPr>
      <xdr:spPr>
        <a:xfrm>
          <a:off x="554583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12</xdr:col>
      <xdr:colOff>495300</xdr:colOff>
      <xdr:row>0</xdr:row>
      <xdr:rowOff>177800</xdr:rowOff>
    </xdr:from>
    <xdr:to>
      <xdr:col>17</xdr:col>
      <xdr:colOff>1673282</xdr:colOff>
      <xdr:row>5</xdr:row>
      <xdr:rowOff>1714500</xdr:rowOff>
    </xdr:to>
    <xdr:pic>
      <xdr:nvPicPr>
        <xdr:cNvPr id="2" name="Image 1">
          <a:extLst>
            <a:ext uri="{FF2B5EF4-FFF2-40B4-BE49-F238E27FC236}">
              <a16:creationId xmlns:a16="http://schemas.microsoft.com/office/drawing/2014/main" id="{D7A7CC4E-87D7-AB4D-86BA-0840FE82A7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16510000" y="177800"/>
          <a:ext cx="5826182"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2794000</xdr:colOff>
      <xdr:row>14</xdr:row>
      <xdr:rowOff>161764</xdr:rowOff>
    </xdr:to>
    <xdr:pic>
      <xdr:nvPicPr>
        <xdr:cNvPr id="3" name="Image 2">
          <a:extLst>
            <a:ext uri="{FF2B5EF4-FFF2-40B4-BE49-F238E27FC236}">
              <a16:creationId xmlns:a16="http://schemas.microsoft.com/office/drawing/2014/main" id="{8264BD75-C2AE-7A4A-BE86-16881FDADF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3911600" y="5448300"/>
          <a:ext cx="2794000" cy="1419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292100</xdr:colOff>
      <xdr:row>0</xdr:row>
      <xdr:rowOff>152400</xdr:rowOff>
    </xdr:from>
    <xdr:to>
      <xdr:col>16</xdr:col>
      <xdr:colOff>850900</xdr:colOff>
      <xdr:row>1</xdr:row>
      <xdr:rowOff>139700</xdr:rowOff>
    </xdr:to>
    <xdr:sp macro="" textlink="">
      <xdr:nvSpPr>
        <xdr:cNvPr id="4" name="ZoneTexte 3">
          <a:extLst>
            <a:ext uri="{FF2B5EF4-FFF2-40B4-BE49-F238E27FC236}">
              <a16:creationId xmlns:a16="http://schemas.microsoft.com/office/drawing/2014/main" id="{CDC221D6-A1D8-17DB-9C22-016C64DF00C5}"/>
            </a:ext>
          </a:extLst>
        </xdr:cNvPr>
        <xdr:cNvSpPr txBox="1"/>
      </xdr:nvSpPr>
      <xdr:spPr>
        <a:xfrm>
          <a:off x="18859500" y="152400"/>
          <a:ext cx="876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accord</a:t>
          </a:r>
        </a:p>
      </xdr:txBody>
    </xdr:sp>
    <xdr:clientData/>
  </xdr:twoCellAnchor>
  <xdr:twoCellAnchor>
    <xdr:from>
      <xdr:col>12</xdr:col>
      <xdr:colOff>596900</xdr:colOff>
      <xdr:row>0</xdr:row>
      <xdr:rowOff>152400</xdr:rowOff>
    </xdr:from>
    <xdr:to>
      <xdr:col>14</xdr:col>
      <xdr:colOff>114300</xdr:colOff>
      <xdr:row>1</xdr:row>
      <xdr:rowOff>139700</xdr:rowOff>
    </xdr:to>
    <xdr:sp macro="" textlink="">
      <xdr:nvSpPr>
        <xdr:cNvPr id="5" name="ZoneTexte 4">
          <a:extLst>
            <a:ext uri="{FF2B5EF4-FFF2-40B4-BE49-F238E27FC236}">
              <a16:creationId xmlns:a16="http://schemas.microsoft.com/office/drawing/2014/main" id="{074DDA04-6016-4C41-A155-D1D89F33273C}"/>
            </a:ext>
          </a:extLst>
        </xdr:cNvPr>
        <xdr:cNvSpPr txBox="1"/>
      </xdr:nvSpPr>
      <xdr:spPr>
        <a:xfrm>
          <a:off x="16611600" y="1524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17</xdr:col>
      <xdr:colOff>863600</xdr:colOff>
      <xdr:row>0</xdr:row>
      <xdr:rowOff>114300</xdr:rowOff>
    </xdr:from>
    <xdr:to>
      <xdr:col>17</xdr:col>
      <xdr:colOff>1828800</xdr:colOff>
      <xdr:row>1</xdr:row>
      <xdr:rowOff>101600</xdr:rowOff>
    </xdr:to>
    <xdr:sp macro="" textlink="">
      <xdr:nvSpPr>
        <xdr:cNvPr id="6" name="ZoneTexte 5">
          <a:extLst>
            <a:ext uri="{FF2B5EF4-FFF2-40B4-BE49-F238E27FC236}">
              <a16:creationId xmlns:a16="http://schemas.microsoft.com/office/drawing/2014/main" id="{0A3D2000-6B89-C14A-A068-A6DC5BA9B8A0}"/>
            </a:ext>
          </a:extLst>
        </xdr:cNvPr>
        <xdr:cNvSpPr txBox="1"/>
      </xdr:nvSpPr>
      <xdr:spPr>
        <a:xfrm>
          <a:off x="21526500" y="1143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15</xdr:col>
      <xdr:colOff>50800</xdr:colOff>
      <xdr:row>1</xdr:row>
      <xdr:rowOff>215900</xdr:rowOff>
    </xdr:from>
    <xdr:to>
      <xdr:col>16</xdr:col>
      <xdr:colOff>1308100</xdr:colOff>
      <xdr:row>5</xdr:row>
      <xdr:rowOff>1371600</xdr:rowOff>
    </xdr:to>
    <xdr:sp macro="" textlink="">
      <xdr:nvSpPr>
        <xdr:cNvPr id="7" name="Rectangle 6">
          <a:extLst>
            <a:ext uri="{FF2B5EF4-FFF2-40B4-BE49-F238E27FC236}">
              <a16:creationId xmlns:a16="http://schemas.microsoft.com/office/drawing/2014/main" id="{0049D21D-EC9E-0C1F-7EED-A99264A0C4DB}"/>
            </a:ext>
          </a:extLst>
        </xdr:cNvPr>
        <xdr:cNvSpPr/>
      </xdr:nvSpPr>
      <xdr:spPr>
        <a:xfrm>
          <a:off x="18618200" y="546100"/>
          <a:ext cx="1574800" cy="2247900"/>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228600</xdr:colOff>
      <xdr:row>1</xdr:row>
      <xdr:rowOff>215900</xdr:rowOff>
    </xdr:from>
    <xdr:to>
      <xdr:col>15</xdr:col>
      <xdr:colOff>0</xdr:colOff>
      <xdr:row>5</xdr:row>
      <xdr:rowOff>1371600</xdr:rowOff>
    </xdr:to>
    <xdr:sp macro="" textlink="">
      <xdr:nvSpPr>
        <xdr:cNvPr id="8" name="Rectangle 7">
          <a:extLst>
            <a:ext uri="{FF2B5EF4-FFF2-40B4-BE49-F238E27FC236}">
              <a16:creationId xmlns:a16="http://schemas.microsoft.com/office/drawing/2014/main" id="{44B6F4A8-25A8-2945-BF6C-CA30FC51577F}"/>
            </a:ext>
          </a:extLst>
        </xdr:cNvPr>
        <xdr:cNvSpPr/>
      </xdr:nvSpPr>
      <xdr:spPr>
        <a:xfrm>
          <a:off x="169926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1346200</xdr:colOff>
      <xdr:row>1</xdr:row>
      <xdr:rowOff>215900</xdr:rowOff>
    </xdr:from>
    <xdr:to>
      <xdr:col>17</xdr:col>
      <xdr:colOff>1143000</xdr:colOff>
      <xdr:row>5</xdr:row>
      <xdr:rowOff>1371600</xdr:rowOff>
    </xdr:to>
    <xdr:sp macro="" textlink="">
      <xdr:nvSpPr>
        <xdr:cNvPr id="9" name="Rectangle 8">
          <a:extLst>
            <a:ext uri="{FF2B5EF4-FFF2-40B4-BE49-F238E27FC236}">
              <a16:creationId xmlns:a16="http://schemas.microsoft.com/office/drawing/2014/main" id="{7DF28183-F50D-3541-8F13-F2703DF420B2}"/>
            </a:ext>
          </a:extLst>
        </xdr:cNvPr>
        <xdr:cNvSpPr/>
      </xdr:nvSpPr>
      <xdr:spPr>
        <a:xfrm>
          <a:off x="202311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1075355</xdr:colOff>
      <xdr:row>2</xdr:row>
      <xdr:rowOff>685800</xdr:rowOff>
    </xdr:from>
    <xdr:to>
      <xdr:col>8</xdr:col>
      <xdr:colOff>900182</xdr:colOff>
      <xdr:row>2</xdr:row>
      <xdr:rowOff>4197936</xdr:rowOff>
    </xdr:to>
    <xdr:pic>
      <xdr:nvPicPr>
        <xdr:cNvPr id="3" name="Image 2" descr="Roue de la vie : accélérer son développement personnel - SelfKaizen">
          <a:extLst>
            <a:ext uri="{FF2B5EF4-FFF2-40B4-BE49-F238E27FC236}">
              <a16:creationId xmlns:a16="http://schemas.microsoft.com/office/drawing/2014/main" id="{4B606802-CBF8-92AE-87F5-3F19F68A7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11955" y="2032000"/>
          <a:ext cx="4828627" cy="3512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3048000</xdr:colOff>
      <xdr:row>2</xdr:row>
      <xdr:rowOff>95982</xdr:rowOff>
    </xdr:from>
    <xdr:to>
      <xdr:col>6</xdr:col>
      <xdr:colOff>381000</xdr:colOff>
      <xdr:row>2</xdr:row>
      <xdr:rowOff>4998058</xdr:rowOff>
    </xdr:to>
    <xdr:pic>
      <xdr:nvPicPr>
        <xdr:cNvPr id="2" name="Image 1">
          <a:extLst>
            <a:ext uri="{FF2B5EF4-FFF2-40B4-BE49-F238E27FC236}">
              <a16:creationId xmlns:a16="http://schemas.microsoft.com/office/drawing/2014/main" id="{8A661F07-205B-3248-06AE-D48B6001E404}"/>
            </a:ext>
          </a:extLst>
        </xdr:cNvPr>
        <xdr:cNvPicPr>
          <a:picLocks noChangeAspect="1"/>
        </xdr:cNvPicPr>
      </xdr:nvPicPr>
      <xdr:blipFill>
        <a:blip xmlns:r="http://schemas.openxmlformats.org/officeDocument/2006/relationships" r:embed="rId2"/>
        <a:stretch>
          <a:fillRect/>
        </a:stretch>
      </xdr:blipFill>
      <xdr:spPr>
        <a:xfrm>
          <a:off x="8521700" y="1442182"/>
          <a:ext cx="5295900" cy="49020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1568005</xdr:colOff>
      <xdr:row>1</xdr:row>
      <xdr:rowOff>236279</xdr:rowOff>
    </xdr:from>
    <xdr:to>
      <xdr:col>5</xdr:col>
      <xdr:colOff>61726</xdr:colOff>
      <xdr:row>4</xdr:row>
      <xdr:rowOff>178707</xdr:rowOff>
    </xdr:to>
    <xdr:pic>
      <xdr:nvPicPr>
        <xdr:cNvPr id="6" name="Image 5">
          <a:extLst>
            <a:ext uri="{FF2B5EF4-FFF2-40B4-BE49-F238E27FC236}">
              <a16:creationId xmlns:a16="http://schemas.microsoft.com/office/drawing/2014/main" id="{8CDCB8E6-D89D-AD44-B74E-887562578A34}"/>
            </a:ext>
          </a:extLst>
        </xdr:cNvPr>
        <xdr:cNvPicPr>
          <a:picLocks noChangeAspect="1"/>
        </xdr:cNvPicPr>
      </xdr:nvPicPr>
      <xdr:blipFill>
        <a:blip xmlns:r="http://schemas.openxmlformats.org/officeDocument/2006/relationships" r:embed="rId1"/>
        <a:stretch>
          <a:fillRect/>
        </a:stretch>
      </xdr:blipFill>
      <xdr:spPr>
        <a:xfrm>
          <a:off x="7578354" y="635000"/>
          <a:ext cx="2067442" cy="11385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339109</xdr:colOff>
      <xdr:row>1</xdr:row>
      <xdr:rowOff>342900</xdr:rowOff>
    </xdr:from>
    <xdr:to>
      <xdr:col>10</xdr:col>
      <xdr:colOff>438582</xdr:colOff>
      <xdr:row>9</xdr:row>
      <xdr:rowOff>116806</xdr:rowOff>
    </xdr:to>
    <xdr:pic>
      <xdr:nvPicPr>
        <xdr:cNvPr id="3" name="Image 2">
          <a:extLst>
            <a:ext uri="{FF2B5EF4-FFF2-40B4-BE49-F238E27FC236}">
              <a16:creationId xmlns:a16="http://schemas.microsoft.com/office/drawing/2014/main" id="{BB99C98B-7AFF-6E47-A54A-5E161E825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84009" y="1016000"/>
          <a:ext cx="3337973" cy="2555206"/>
        </a:xfrm>
        <a:prstGeom prst="rect">
          <a:avLst/>
        </a:prstGeom>
      </xdr:spPr>
    </xdr:pic>
    <xdr:clientData/>
  </xdr:twoCellAnchor>
  <xdr:twoCellAnchor>
    <xdr:from>
      <xdr:col>14</xdr:col>
      <xdr:colOff>1308100</xdr:colOff>
      <xdr:row>38</xdr:row>
      <xdr:rowOff>63500</xdr:rowOff>
    </xdr:from>
    <xdr:to>
      <xdr:col>14</xdr:col>
      <xdr:colOff>1485900</xdr:colOff>
      <xdr:row>39</xdr:row>
      <xdr:rowOff>0</xdr:rowOff>
    </xdr:to>
    <xdr:sp macro="" textlink="">
      <xdr:nvSpPr>
        <xdr:cNvPr id="4" name="Flèche vers le bas 3">
          <a:extLst>
            <a:ext uri="{FF2B5EF4-FFF2-40B4-BE49-F238E27FC236}">
              <a16:creationId xmlns:a16="http://schemas.microsoft.com/office/drawing/2014/main" id="{314E3E79-6E4C-050A-1257-BFF5A154AD33}"/>
            </a:ext>
          </a:extLst>
        </xdr:cNvPr>
        <xdr:cNvSpPr/>
      </xdr:nvSpPr>
      <xdr:spPr>
        <a:xfrm>
          <a:off x="19558000" y="17475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1308100</xdr:colOff>
      <xdr:row>38</xdr:row>
      <xdr:rowOff>63500</xdr:rowOff>
    </xdr:from>
    <xdr:to>
      <xdr:col>13</xdr:col>
      <xdr:colOff>1485900</xdr:colOff>
      <xdr:row>39</xdr:row>
      <xdr:rowOff>0</xdr:rowOff>
    </xdr:to>
    <xdr:sp macro="" textlink="">
      <xdr:nvSpPr>
        <xdr:cNvPr id="5" name="Flèche vers le bas 4">
          <a:extLst>
            <a:ext uri="{FF2B5EF4-FFF2-40B4-BE49-F238E27FC236}">
              <a16:creationId xmlns:a16="http://schemas.microsoft.com/office/drawing/2014/main" id="{B746A6C3-6552-B342-8FD9-9F34CDBA0471}"/>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12</xdr:col>
      <xdr:colOff>1308100</xdr:colOff>
      <xdr:row>38</xdr:row>
      <xdr:rowOff>63500</xdr:rowOff>
    </xdr:from>
    <xdr:to>
      <xdr:col>12</xdr:col>
      <xdr:colOff>1485900</xdr:colOff>
      <xdr:row>39</xdr:row>
      <xdr:rowOff>0</xdr:rowOff>
    </xdr:to>
    <xdr:sp macro="" textlink="">
      <xdr:nvSpPr>
        <xdr:cNvPr id="6" name="Flèche vers le bas 5">
          <a:extLst>
            <a:ext uri="{FF2B5EF4-FFF2-40B4-BE49-F238E27FC236}">
              <a16:creationId xmlns:a16="http://schemas.microsoft.com/office/drawing/2014/main" id="{43E573FD-90EC-E443-807D-7FEA9A72DCD7}"/>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60</xdr:col>
      <xdr:colOff>1933224</xdr:colOff>
      <xdr:row>0</xdr:row>
      <xdr:rowOff>112890</xdr:rowOff>
    </xdr:from>
    <xdr:to>
      <xdr:col>60</xdr:col>
      <xdr:colOff>5964062</xdr:colOff>
      <xdr:row>6</xdr:row>
      <xdr:rowOff>451335</xdr:rowOff>
    </xdr:to>
    <xdr:pic>
      <xdr:nvPicPr>
        <xdr:cNvPr id="2" name="Image 1">
          <a:extLst>
            <a:ext uri="{FF2B5EF4-FFF2-40B4-BE49-F238E27FC236}">
              <a16:creationId xmlns:a16="http://schemas.microsoft.com/office/drawing/2014/main" id="{EB7D2208-09CF-D040-8972-C5610FD8E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28557" y="112890"/>
          <a:ext cx="4030838" cy="22857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838200</xdr:colOff>
      <xdr:row>28</xdr:row>
      <xdr:rowOff>12700</xdr:rowOff>
    </xdr:from>
    <xdr:to>
      <xdr:col>9</xdr:col>
      <xdr:colOff>1219200</xdr:colOff>
      <xdr:row>28</xdr:row>
      <xdr:rowOff>431800</xdr:rowOff>
    </xdr:to>
    <xdr:sp macro="" textlink="">
      <xdr:nvSpPr>
        <xdr:cNvPr id="2" name="Flèche vers le bas 1">
          <a:extLst>
            <a:ext uri="{FF2B5EF4-FFF2-40B4-BE49-F238E27FC236}">
              <a16:creationId xmlns:a16="http://schemas.microsoft.com/office/drawing/2014/main" id="{DEA5A5A5-4A74-9B4D-8014-2A23DAA62BDB}"/>
            </a:ext>
          </a:extLst>
        </xdr:cNvPr>
        <xdr:cNvSpPr/>
      </xdr:nvSpPr>
      <xdr:spPr>
        <a:xfrm>
          <a:off x="15595600" y="11887200"/>
          <a:ext cx="3810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1319374</xdr:colOff>
      <xdr:row>30</xdr:row>
      <xdr:rowOff>114300</xdr:rowOff>
    </xdr:from>
    <xdr:to>
      <xdr:col>8</xdr:col>
      <xdr:colOff>76200</xdr:colOff>
      <xdr:row>36</xdr:row>
      <xdr:rowOff>101600</xdr:rowOff>
    </xdr:to>
    <xdr:pic>
      <xdr:nvPicPr>
        <xdr:cNvPr id="2" name="image-item" descr="Maison de dessin animé">
          <a:extLst>
            <a:ext uri="{FF2B5EF4-FFF2-40B4-BE49-F238E27FC236}">
              <a16:creationId xmlns:a16="http://schemas.microsoft.com/office/drawing/2014/main" id="{D753F051-58B8-E15A-59FB-F3AC9B100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216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30</xdr:row>
      <xdr:rowOff>76200</xdr:rowOff>
    </xdr:from>
    <xdr:to>
      <xdr:col>5</xdr:col>
      <xdr:colOff>25400</xdr:colOff>
      <xdr:row>36</xdr:row>
      <xdr:rowOff>224692</xdr:rowOff>
    </xdr:to>
    <xdr:pic>
      <xdr:nvPicPr>
        <xdr:cNvPr id="4" name="Image 3" descr="Dessin maison moderne : 908 174 images, photos et images vectorielles de  stock | Shutterstock">
          <a:extLst>
            <a:ext uri="{FF2B5EF4-FFF2-40B4-BE49-F238E27FC236}">
              <a16:creationId xmlns:a16="http://schemas.microsoft.com/office/drawing/2014/main" id="{4BC2B378-5493-F224-8789-343D18F7AF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31</xdr:row>
      <xdr:rowOff>25400</xdr:rowOff>
    </xdr:from>
    <xdr:to>
      <xdr:col>7</xdr:col>
      <xdr:colOff>711200</xdr:colOff>
      <xdr:row>32</xdr:row>
      <xdr:rowOff>63500</xdr:rowOff>
    </xdr:to>
    <xdr:sp macro="" textlink="">
      <xdr:nvSpPr>
        <xdr:cNvPr id="5" name="Flèche vers la droite 4">
          <a:extLst>
            <a:ext uri="{FF2B5EF4-FFF2-40B4-BE49-F238E27FC236}">
              <a16:creationId xmlns:a16="http://schemas.microsoft.com/office/drawing/2014/main" id="{59C695E6-9CF9-1902-E80B-FE783B64411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34</xdr:row>
      <xdr:rowOff>101600</xdr:rowOff>
    </xdr:from>
    <xdr:to>
      <xdr:col>7</xdr:col>
      <xdr:colOff>774700</xdr:colOff>
      <xdr:row>35</xdr:row>
      <xdr:rowOff>114300</xdr:rowOff>
    </xdr:to>
    <xdr:sp macro="" textlink="">
      <xdr:nvSpPr>
        <xdr:cNvPr id="6" name="Flèche vers la droite 5">
          <a:extLst>
            <a:ext uri="{FF2B5EF4-FFF2-40B4-BE49-F238E27FC236}">
              <a16:creationId xmlns:a16="http://schemas.microsoft.com/office/drawing/2014/main" id="{04F09EDA-A027-7945-9E04-BEED9ECB833B}"/>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684276</xdr:colOff>
      <xdr:row>43</xdr:row>
      <xdr:rowOff>126195</xdr:rowOff>
    </xdr:from>
    <xdr:to>
      <xdr:col>12</xdr:col>
      <xdr:colOff>862076</xdr:colOff>
      <xdr:row>43</xdr:row>
      <xdr:rowOff>329395</xdr:rowOff>
    </xdr:to>
    <xdr:sp macro="" textlink="">
      <xdr:nvSpPr>
        <xdr:cNvPr id="2" name="Flèche vers le bas 1">
          <a:extLst>
            <a:ext uri="{FF2B5EF4-FFF2-40B4-BE49-F238E27FC236}">
              <a16:creationId xmlns:a16="http://schemas.microsoft.com/office/drawing/2014/main" id="{31366BFF-4646-9142-A139-7D957EC587EE}"/>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684276</xdr:colOff>
      <xdr:row>43</xdr:row>
      <xdr:rowOff>126195</xdr:rowOff>
    </xdr:from>
    <xdr:to>
      <xdr:col>13</xdr:col>
      <xdr:colOff>862076</xdr:colOff>
      <xdr:row>43</xdr:row>
      <xdr:rowOff>329395</xdr:rowOff>
    </xdr:to>
    <xdr:sp macro="" textlink="">
      <xdr:nvSpPr>
        <xdr:cNvPr id="3" name="Flèche vers le bas 2">
          <a:extLst>
            <a:ext uri="{FF2B5EF4-FFF2-40B4-BE49-F238E27FC236}">
              <a16:creationId xmlns:a16="http://schemas.microsoft.com/office/drawing/2014/main" id="{A6F86E88-ADF5-0D42-9B87-51C75FCED0CF}"/>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684276</xdr:colOff>
      <xdr:row>43</xdr:row>
      <xdr:rowOff>126195</xdr:rowOff>
    </xdr:from>
    <xdr:to>
      <xdr:col>14</xdr:col>
      <xdr:colOff>862076</xdr:colOff>
      <xdr:row>43</xdr:row>
      <xdr:rowOff>329395</xdr:rowOff>
    </xdr:to>
    <xdr:sp macro="" textlink="">
      <xdr:nvSpPr>
        <xdr:cNvPr id="4" name="Flèche vers le bas 3">
          <a:extLst>
            <a:ext uri="{FF2B5EF4-FFF2-40B4-BE49-F238E27FC236}">
              <a16:creationId xmlns:a16="http://schemas.microsoft.com/office/drawing/2014/main" id="{AC6ED10E-DB90-8849-B08A-CD795C26BAE3}"/>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368300</xdr:colOff>
      <xdr:row>2</xdr:row>
      <xdr:rowOff>457200</xdr:rowOff>
    </xdr:from>
    <xdr:to>
      <xdr:col>3</xdr:col>
      <xdr:colOff>1130300</xdr:colOff>
      <xdr:row>4</xdr:row>
      <xdr:rowOff>381000</xdr:rowOff>
    </xdr:to>
    <xdr:pic>
      <xdr:nvPicPr>
        <xdr:cNvPr id="3" name="Image 2">
          <a:extLst>
            <a:ext uri="{FF2B5EF4-FFF2-40B4-BE49-F238E27FC236}">
              <a16:creationId xmlns:a16="http://schemas.microsoft.com/office/drawing/2014/main" id="{FCF0DC78-8513-4440-8D75-D10B1FCC5AF3}"/>
            </a:ext>
          </a:extLst>
        </xdr:cNvPr>
        <xdr:cNvPicPr>
          <a:picLocks noChangeAspect="1"/>
        </xdr:cNvPicPr>
      </xdr:nvPicPr>
      <xdr:blipFill>
        <a:blip xmlns:r="http://schemas.openxmlformats.org/officeDocument/2006/relationships" r:embed="rId1"/>
        <a:stretch>
          <a:fillRect/>
        </a:stretch>
      </xdr:blipFill>
      <xdr:spPr>
        <a:xfrm>
          <a:off x="4089400" y="1803400"/>
          <a:ext cx="3492500" cy="3048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66" dT="2023-04-10T18:18:43.02" personId="{5C98A592-1151-094F-8E8F-C848214FE88B}" id="{730D0617-D584-7A4D-B738-B6E05C12857D}">
    <text>voir PCR31</text>
  </threadedComment>
  <threadedComment ref="J86" dT="2023-04-10T17:18:46.58" personId="{5C98A592-1151-094F-8E8F-C848214FE88B}" id="{6D4EE63E-E36E-DE43-9F33-A873A6F09E2A}">
    <text xml:space="preserve">Mettre condition 
de VC </text>
  </threadedComment>
  <threadedComment ref="J87" dT="2023-04-10T17:18:53.35" personId="{5C98A592-1151-094F-8E8F-C848214FE88B}" id="{448E8329-35B3-5D46-9A34-28758E4A3CDE}">
    <text xml:space="preserve">Mettre condition 
de VC </text>
  </threadedComment>
  <threadedComment ref="J95" dT="2023-04-10T17:22:38.45" personId="{5C98A592-1151-094F-8E8F-C848214FE88B}" id="{4A5A1F05-D75A-FB44-B82D-29AD109E1594}">
    <text>Conditions VC</text>
  </threadedComment>
  <threadedComment ref="F116" dT="2023-04-10T17:57:32.86" personId="{5C98A592-1151-094F-8E8F-C848214FE88B}" id="{DA1F15F1-A7A9-A94C-BB97-D45D9FB0F940}">
    <text>out différentiel</text>
  </threadedComment>
  <threadedComment ref="G127" dT="2023-04-10T18:11:13.16" personId="{5C98A592-1151-094F-8E8F-C848214FE88B}" id="{1D54AF3C-B74D-194D-B912-22A0D550AB36}">
    <text xml:space="preserve">À retirer 
</text>
  </threadedComment>
  <threadedComment ref="J131" dT="2023-04-10T18:13:12.90" personId="{5C98A592-1151-094F-8E8F-C848214FE88B}" id="{054B7207-1B5C-E941-A252-BED45D2685F4}">
    <text>conditions VC</text>
  </threadedComment>
  <threadedComment ref="D133" dT="2023-04-10T18:18:14.46" personId="{5C98A592-1151-094F-8E8F-C848214FE88B}" id="{CBD24940-241F-774E-80D1-CE1241005F78}">
    <text>Voir PCR16</text>
  </threadedComment>
  <threadedComment ref="B178" dT="2023-04-10T18:59:13.81" personId="{5C98A592-1151-094F-8E8F-C848214FE88B}" id="{5E09927C-892F-ED4A-9CD6-24B61673B8C5}">
    <text>out question</text>
  </threadedComment>
  <threadedComment ref="B191" dT="2023-04-10T19:21:07.37" personId="{5C98A592-1151-094F-8E8F-C848214FE88B}" id="{40EDC949-1964-6340-B48F-C6C9EC875F9C}">
    <text>Out adapte pour garder juste adapte</text>
  </threadedComment>
  <threadedComment ref="B194" dT="2023-04-10T18:42:51.48" personId="{5C98A592-1151-094F-8E8F-C848214FE88B}" id="{6898A81C-3861-9B43-B447-FC3851C867F2}">
    <text xml:space="preserve">Doit s’ouvrir si E15a n’est pas ouvert
</text>
  </threadedComment>
</ThreadedComments>
</file>

<file path=xl/threadedComments/threadedComment2.xml><?xml version="1.0" encoding="utf-8"?>
<ThreadedComments xmlns="http://schemas.microsoft.com/office/spreadsheetml/2018/threadedcomments" xmlns:x="http://schemas.openxmlformats.org/spreadsheetml/2006/main">
  <threadedComment ref="L55" dT="2023-05-11T10:42:11.52" personId="{2F02F7ED-CA51-A244-B43B-5F2EA8C10B88}" id="{A4A8BABF-F3D7-9841-B83A-0F9F52F6A0C9}">
    <text xml:space="preserve">A été changé
</text>
  </threadedComment>
  <threadedComment ref="C68" dT="2023-05-06T20:29:45.88" personId="{2F02F7ED-CA51-A244-B43B-5F2EA8C10B88}" id="{B54F4D69-B516-1C4E-9819-74DBD1778396}">
    <text xml:space="preserve">Ajouter condition dans le Test_bible
</text>
  </threadedComment>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C142" dT="2023-05-06T20:28:33.08" personId="{2F02F7ED-CA51-A244-B43B-5F2EA8C10B88}" id="{1D347874-54DB-7743-BEFD-CF1C08971D89}">
    <text xml:space="preserve">Intégrer dans le test-bible la condition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 ref="F196" dT="2023-04-16T21:35:50.57" personId="{2F02F7ED-CA51-A244-B43B-5F2EA8C10B88}" id="{6DCF1DC9-7968-F044-8178-B2F1776AD0DC}">
    <text xml:space="preserve">Le mot « change » a été retiré
</text>
  </threadedComment>
  <threadedComment ref="A198" dT="2023-04-15T13:37:00.68" personId="{2F02F7ED-CA51-A244-B43B-5F2EA8C10B88}" id="{CC30D837-B114-3640-85E2-08C1020C74E3}">
    <text xml:space="preserve">Condition d’ouverture de E15a est nouvelle et ajouté
</text>
  </threadedComment>
</ThreadedComments>
</file>

<file path=xl/threadedComments/threadedComment3.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5.xml><?xml version="1.0" encoding="utf-8"?>
<ThreadedComments xmlns="http://schemas.microsoft.com/office/spreadsheetml/2018/threadedcomments" xmlns:x="http://schemas.openxmlformats.org/spreadsheetml/2006/main">
  <threadedComment ref="B19" dT="2023-04-17T01:00:04.97" personId="{2F02F7ED-CA51-A244-B43B-5F2EA8C10B88}" id="{5F114D5B-A2F9-D94A-986E-ECD6C4F5CA9D}">
    <text xml:space="preserve">Compromis fait
</text>
  </threadedComment>
  <threadedComment ref="E22" dT="2023-04-23T20:19:57.98" personId="{2F02F7ED-CA51-A244-B43B-5F2EA8C10B88}" id="{7A8210FA-E9C3-B84D-A1DC-30A0A86B0F71}">
    <text xml:space="preserve">Si l’enfant est plus jeune que 12 ans
</text>
  </threadedComment>
</ThreadedComments>
</file>

<file path=xl/threadedComments/threadedComment6.xml><?xml version="1.0" encoding="utf-8"?>
<ThreadedComments xmlns="http://schemas.microsoft.com/office/spreadsheetml/2018/threadedcomments" xmlns:x="http://schemas.openxmlformats.org/spreadsheetml/2006/main">
  <threadedComment ref="S262"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threadedComments/threadedComment7.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7" dT="2023-03-14T15:38:44.39" personId="{2F02F7ED-CA51-A244-B43B-5F2EA8C10B88}" id="{FE0CF86D-323D-1943-9EDB-9F812A0244C8}">
    <text>Pas de relation de coparentalité créée</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B0355-89A6-684E-896A-302D8CA48412}">
  <dimension ref="A7:J29"/>
  <sheetViews>
    <sheetView workbookViewId="0">
      <selection activeCell="J9" sqref="J9"/>
    </sheetView>
  </sheetViews>
  <sheetFormatPr baseColWidth="10" defaultRowHeight="16" x14ac:dyDescent="0.2"/>
  <cols>
    <col min="1" max="1" width="5.1640625" customWidth="1"/>
    <col min="2" max="2" width="60.1640625" customWidth="1"/>
    <col min="3" max="3" width="2.5" customWidth="1"/>
    <col min="10" max="10" width="12.6640625" customWidth="1"/>
  </cols>
  <sheetData>
    <row r="7" spans="1:10" x14ac:dyDescent="0.2">
      <c r="D7" s="5" t="s">
        <v>1733</v>
      </c>
      <c r="E7" s="5"/>
      <c r="F7" s="5"/>
      <c r="G7" s="5" t="s">
        <v>1734</v>
      </c>
      <c r="J7" s="1" t="s">
        <v>281</v>
      </c>
    </row>
    <row r="8" spans="1:10" x14ac:dyDescent="0.2">
      <c r="A8" t="s">
        <v>1736</v>
      </c>
      <c r="B8" s="1819" t="s">
        <v>1740</v>
      </c>
      <c r="D8" s="88"/>
      <c r="E8" s="88"/>
      <c r="F8" s="88"/>
      <c r="G8" s="88"/>
      <c r="J8" s="88"/>
    </row>
    <row r="9" spans="1:10" x14ac:dyDescent="0.2">
      <c r="B9" t="s">
        <v>1724</v>
      </c>
      <c r="D9" s="5" t="str">
        <f>IF(AND('Contexte | CSS'!$H$37&gt;='Contexte | CSS'!$AK11,'Contexte | CSS'!$H$37&lt;='Contexte | CSS'!$AL11),"Y"," ")</f>
        <v xml:space="preserve"> </v>
      </c>
      <c r="E9" s="5" t="str">
        <f>IF(AND('Contexte | CSS'!$H$37&gt;='Contexte | CSS'!$AK12,'Contexte | CSS'!$H$37&lt;='Contexte | CSS'!$AL12),"Y"," ")</f>
        <v xml:space="preserve"> </v>
      </c>
      <c r="F9" s="5" t="str">
        <f>IF(AND('Contexte | CSS'!$H$37&gt;='Contexte | CSS'!$AK13,'Contexte | CSS'!$H$37&lt;='Contexte | CSS'!$AL13),"Y"," ")</f>
        <v>Y</v>
      </c>
      <c r="G9" s="5" t="str">
        <f>IF(AND('Contexte | CSS'!$H$37&gt;='Contexte | CSS'!$AK14,'Contexte | CSS'!$H$37&lt;='Contexte | CSS'!$AL14),"Y"," ")</f>
        <v xml:space="preserve"> </v>
      </c>
      <c r="J9" s="55"/>
    </row>
    <row r="10" spans="1:10" x14ac:dyDescent="0.2">
      <c r="B10" t="s">
        <v>1725</v>
      </c>
      <c r="D10" s="5"/>
      <c r="E10" s="5"/>
      <c r="F10" s="5"/>
      <c r="G10" s="5"/>
    </row>
    <row r="11" spans="1:10" x14ac:dyDescent="0.2">
      <c r="B11" t="s">
        <v>1726</v>
      </c>
      <c r="D11" s="5"/>
      <c r="E11" s="5"/>
      <c r="F11" s="5"/>
      <c r="G11" s="5"/>
    </row>
    <row r="12" spans="1:10" x14ac:dyDescent="0.2">
      <c r="B12" t="s">
        <v>1728</v>
      </c>
      <c r="D12" s="5"/>
      <c r="E12" s="5"/>
      <c r="F12" s="5"/>
      <c r="G12" s="5"/>
    </row>
    <row r="13" spans="1:10" x14ac:dyDescent="0.2">
      <c r="D13" s="5"/>
      <c r="E13" s="5"/>
      <c r="F13" s="5"/>
      <c r="G13" s="5"/>
    </row>
    <row r="14" spans="1:10" x14ac:dyDescent="0.2">
      <c r="A14" t="s">
        <v>1737</v>
      </c>
      <c r="B14" s="1818" t="s">
        <v>1732</v>
      </c>
      <c r="D14" s="5"/>
      <c r="E14" s="5"/>
      <c r="F14" s="5"/>
      <c r="G14" s="5"/>
    </row>
    <row r="15" spans="1:10" x14ac:dyDescent="0.2">
      <c r="B15" s="88" t="s">
        <v>1719</v>
      </c>
      <c r="D15" s="88"/>
      <c r="E15" s="88"/>
      <c r="F15" s="88"/>
      <c r="G15" s="88"/>
      <c r="J15" s="88"/>
    </row>
    <row r="16" spans="1:10" x14ac:dyDescent="0.2">
      <c r="B16" s="12" t="s">
        <v>1735</v>
      </c>
      <c r="C16" s="12"/>
      <c r="D16" s="12"/>
      <c r="E16" s="12"/>
      <c r="F16" s="12"/>
      <c r="G16" s="12"/>
      <c r="J16" s="88"/>
    </row>
    <row r="17" spans="1:10" x14ac:dyDescent="0.2">
      <c r="B17" s="12" t="s">
        <v>1722</v>
      </c>
      <c r="C17" s="12"/>
      <c r="D17" s="12"/>
      <c r="E17" s="12"/>
      <c r="F17" s="12"/>
      <c r="G17" s="12"/>
      <c r="J17" s="88"/>
    </row>
    <row r="19" spans="1:10" x14ac:dyDescent="0.2">
      <c r="A19" t="s">
        <v>29</v>
      </c>
      <c r="B19" s="1820" t="s">
        <v>1739</v>
      </c>
      <c r="C19" s="1821"/>
      <c r="D19" s="1821"/>
      <c r="E19" s="1821"/>
      <c r="F19" s="1821"/>
      <c r="G19" s="1821"/>
    </row>
    <row r="21" spans="1:10" x14ac:dyDescent="0.2">
      <c r="A21" t="s">
        <v>1738</v>
      </c>
      <c r="B21" s="1820" t="s">
        <v>1723</v>
      </c>
      <c r="C21" s="1821"/>
      <c r="D21" s="1821"/>
      <c r="E21" s="1821"/>
      <c r="F21" s="1821"/>
      <c r="G21" s="1821"/>
    </row>
    <row r="22" spans="1:10" x14ac:dyDescent="0.2">
      <c r="B22" t="s">
        <v>1727</v>
      </c>
    </row>
    <row r="23" spans="1:10" x14ac:dyDescent="0.2">
      <c r="B23" t="s">
        <v>1729</v>
      </c>
    </row>
    <row r="24" spans="1:10" x14ac:dyDescent="0.2">
      <c r="B24" t="s">
        <v>1730</v>
      </c>
    </row>
    <row r="28" spans="1:10" x14ac:dyDescent="0.2">
      <c r="B28" s="1818" t="s">
        <v>1731</v>
      </c>
    </row>
    <row r="29" spans="1:10" x14ac:dyDescent="0.2">
      <c r="B29" t="s">
        <v>1704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3BBA-3A49-7E4D-A99F-7C80F0DBE2C2}">
  <dimension ref="A1:M47"/>
  <sheetViews>
    <sheetView zoomScale="132" zoomScaleNormal="132" workbookViewId="0">
      <selection activeCell="A8" sqref="A8:C8"/>
    </sheetView>
  </sheetViews>
  <sheetFormatPr baseColWidth="10" defaultRowHeight="16" x14ac:dyDescent="0.2"/>
  <cols>
    <col min="1" max="1" width="21.6640625" customWidth="1"/>
    <col min="2" max="2" width="10.83203125" customWidth="1"/>
    <col min="3" max="3" width="88.6640625" customWidth="1"/>
    <col min="4" max="11" width="9.6640625" customWidth="1"/>
  </cols>
  <sheetData>
    <row r="1" spans="1:13" ht="23" x14ac:dyDescent="0.25">
      <c r="B1" s="2109" t="s">
        <v>1992</v>
      </c>
      <c r="C1" s="2107"/>
      <c r="D1" s="2107"/>
      <c r="M1" s="2107" t="s">
        <v>1876</v>
      </c>
    </row>
    <row r="3" spans="1:13" x14ac:dyDescent="0.2">
      <c r="B3" t="s">
        <v>1882</v>
      </c>
    </row>
    <row r="4" spans="1:13" x14ac:dyDescent="0.2">
      <c r="A4" t="s">
        <v>1886</v>
      </c>
      <c r="B4" s="3" t="s">
        <v>1879</v>
      </c>
      <c r="C4" s="3"/>
      <c r="D4" s="3" t="s">
        <v>1993</v>
      </c>
      <c r="H4" s="3"/>
    </row>
    <row r="5" spans="1:13" x14ac:dyDescent="0.2">
      <c r="A5" t="s">
        <v>1887</v>
      </c>
      <c r="B5" s="2110" t="s">
        <v>1874</v>
      </c>
      <c r="C5" s="2110"/>
    </row>
    <row r="6" spans="1:13" x14ac:dyDescent="0.2">
      <c r="A6" t="s">
        <v>1888</v>
      </c>
      <c r="B6" s="2110" t="s">
        <v>1880</v>
      </c>
      <c r="C6" s="2110"/>
    </row>
    <row r="7" spans="1:13" x14ac:dyDescent="0.2">
      <c r="A7" t="s">
        <v>1889</v>
      </c>
      <c r="B7" s="2110" t="s">
        <v>1881</v>
      </c>
      <c r="C7" s="2110"/>
    </row>
    <row r="8" spans="1:13" x14ac:dyDescent="0.2">
      <c r="A8" t="s">
        <v>1890</v>
      </c>
      <c r="B8" s="2110" t="s">
        <v>1903</v>
      </c>
      <c r="C8" s="2110"/>
      <c r="D8" t="s">
        <v>1883</v>
      </c>
    </row>
    <row r="9" spans="1:13" x14ac:dyDescent="0.2">
      <c r="A9" t="s">
        <v>1891</v>
      </c>
      <c r="B9" s="2110" t="s">
        <v>1884</v>
      </c>
      <c r="C9" s="2110"/>
      <c r="D9" s="2110"/>
    </row>
    <row r="10" spans="1:13" x14ac:dyDescent="0.2">
      <c r="A10" t="s">
        <v>1892</v>
      </c>
      <c r="B10" s="2110" t="s">
        <v>1885</v>
      </c>
      <c r="C10" s="2110"/>
      <c r="D10" s="2110"/>
    </row>
    <row r="11" spans="1:13" x14ac:dyDescent="0.2">
      <c r="A11" t="s">
        <v>1893</v>
      </c>
      <c r="B11" s="2110" t="s">
        <v>1877</v>
      </c>
      <c r="C11" s="2110"/>
      <c r="D11" s="2110"/>
    </row>
    <row r="12" spans="1:13" x14ac:dyDescent="0.2">
      <c r="A12" t="s">
        <v>1894</v>
      </c>
      <c r="B12" s="2110" t="s">
        <v>1878</v>
      </c>
      <c r="C12" s="2110"/>
      <c r="D12" s="2110" t="s">
        <v>1994</v>
      </c>
    </row>
    <row r="13" spans="1:13" x14ac:dyDescent="0.2">
      <c r="B13" s="2110"/>
      <c r="C13" s="2110"/>
      <c r="D13" s="2110"/>
    </row>
    <row r="14" spans="1:13" x14ac:dyDescent="0.2">
      <c r="B14" s="2110" t="s">
        <v>1875</v>
      </c>
    </row>
    <row r="17" spans="1:11" x14ac:dyDescent="0.2">
      <c r="A17" s="1602"/>
      <c r="D17" s="1602" t="s">
        <v>1913</v>
      </c>
    </row>
    <row r="18" spans="1:11" x14ac:dyDescent="0.2">
      <c r="B18" s="1602" t="s">
        <v>1915</v>
      </c>
      <c r="C18" s="1602" t="s">
        <v>1916</v>
      </c>
      <c r="D18" s="1602"/>
    </row>
    <row r="19" spans="1:11" ht="75" customHeight="1" x14ac:dyDescent="0.2">
      <c r="C19" s="2110"/>
      <c r="D19" s="2114" t="s">
        <v>1905</v>
      </c>
      <c r="E19" s="2115" t="s">
        <v>1906</v>
      </c>
      <c r="F19" s="2115" t="s">
        <v>1907</v>
      </c>
      <c r="G19" s="2115" t="s">
        <v>1908</v>
      </c>
      <c r="H19" s="2115" t="s">
        <v>1909</v>
      </c>
      <c r="I19" s="2115" t="s">
        <v>1910</v>
      </c>
      <c r="J19" s="2115" t="s">
        <v>1911</v>
      </c>
      <c r="K19" s="2115" t="s">
        <v>1912</v>
      </c>
    </row>
    <row r="20" spans="1:11" x14ac:dyDescent="0.2">
      <c r="B20" s="1821" t="s">
        <v>1648</v>
      </c>
      <c r="C20" s="2124"/>
      <c r="D20" s="2125"/>
      <c r="E20" s="2125"/>
      <c r="F20" s="2125"/>
      <c r="G20" s="2125"/>
      <c r="H20" s="2125"/>
      <c r="I20" s="2125"/>
      <c r="J20" s="2125"/>
      <c r="K20" s="2125" t="s">
        <v>1754</v>
      </c>
    </row>
    <row r="21" spans="1:11" x14ac:dyDescent="0.2">
      <c r="C21" s="2110" t="s">
        <v>1895</v>
      </c>
      <c r="D21" s="1466"/>
      <c r="E21" s="1466"/>
      <c r="F21" s="1466"/>
      <c r="G21" s="1466" t="s">
        <v>1754</v>
      </c>
      <c r="H21" s="1466"/>
      <c r="I21" s="1466"/>
      <c r="J21" s="1466"/>
      <c r="K21" s="1466"/>
    </row>
    <row r="22" spans="1:11" x14ac:dyDescent="0.2">
      <c r="C22" s="2110" t="s">
        <v>1859</v>
      </c>
      <c r="D22" s="2116"/>
      <c r="E22" s="1466"/>
      <c r="F22" s="1466"/>
      <c r="G22" s="1466" t="s">
        <v>1754</v>
      </c>
      <c r="H22" s="1466"/>
      <c r="I22" s="1466"/>
      <c r="J22" s="1466"/>
      <c r="K22" s="1466"/>
    </row>
    <row r="23" spans="1:11" x14ac:dyDescent="0.2">
      <c r="C23" s="2110" t="s">
        <v>1861</v>
      </c>
      <c r="D23" s="2116"/>
      <c r="E23" s="1466"/>
      <c r="F23" s="1466"/>
      <c r="G23" s="1466" t="s">
        <v>1754</v>
      </c>
      <c r="H23" s="1466"/>
      <c r="I23" s="1466"/>
      <c r="J23" s="1466"/>
      <c r="K23" s="1466"/>
    </row>
    <row r="24" spans="1:11" x14ac:dyDescent="0.2">
      <c r="C24" s="2110" t="s">
        <v>1860</v>
      </c>
      <c r="D24" s="2116"/>
      <c r="E24" s="1466"/>
      <c r="F24" s="1466"/>
      <c r="G24" s="1466" t="s">
        <v>1754</v>
      </c>
      <c r="H24" s="1466"/>
      <c r="I24" s="1466"/>
      <c r="J24" s="1466"/>
      <c r="K24" s="1466"/>
    </row>
    <row r="25" spans="1:11" x14ac:dyDescent="0.2">
      <c r="B25" s="1821" t="s">
        <v>1718</v>
      </c>
      <c r="C25" s="1821"/>
      <c r="D25" s="2126"/>
      <c r="E25" s="2125"/>
      <c r="F25" s="2125"/>
      <c r="G25" s="2125"/>
      <c r="H25" s="2125"/>
      <c r="I25" s="2125"/>
      <c r="J25" s="2125"/>
      <c r="K25" s="2125" t="s">
        <v>1754</v>
      </c>
    </row>
    <row r="26" spans="1:11" x14ac:dyDescent="0.2">
      <c r="C26" t="s">
        <v>1843</v>
      </c>
      <c r="D26" s="2116"/>
      <c r="E26" s="1466" t="s">
        <v>1754</v>
      </c>
      <c r="F26" s="1466" t="s">
        <v>1754</v>
      </c>
      <c r="G26" s="1466" t="s">
        <v>1754</v>
      </c>
      <c r="H26" s="1466"/>
      <c r="I26" s="1466"/>
      <c r="J26" s="1466"/>
      <c r="K26" s="1466"/>
    </row>
    <row r="27" spans="1:11" x14ac:dyDescent="0.2">
      <c r="C27" t="s">
        <v>1841</v>
      </c>
      <c r="D27" s="2116"/>
      <c r="E27" s="1466" t="s">
        <v>1754</v>
      </c>
      <c r="F27" s="1466"/>
      <c r="G27" s="1466" t="s">
        <v>1754</v>
      </c>
      <c r="H27" s="1466"/>
      <c r="I27" s="1466"/>
      <c r="J27" s="1466"/>
      <c r="K27" s="1466"/>
    </row>
    <row r="28" spans="1:11" x14ac:dyDescent="0.2">
      <c r="C28" t="s">
        <v>1904</v>
      </c>
      <c r="D28" s="2116"/>
      <c r="E28" s="1466" t="s">
        <v>1754</v>
      </c>
      <c r="F28" s="1466"/>
      <c r="G28" s="1466" t="s">
        <v>1754</v>
      </c>
      <c r="H28" s="1466"/>
      <c r="I28" s="1466"/>
      <c r="J28" s="1466"/>
      <c r="K28" s="1466"/>
    </row>
    <row r="29" spans="1:11" x14ac:dyDescent="0.2">
      <c r="B29" s="1821" t="s">
        <v>1801</v>
      </c>
      <c r="C29" s="1821"/>
      <c r="D29" s="2126"/>
      <c r="E29" s="2125"/>
      <c r="F29" s="2125"/>
      <c r="G29" s="2125"/>
      <c r="H29" s="2125"/>
      <c r="I29" s="2125"/>
      <c r="J29" s="2125"/>
      <c r="K29" s="2125" t="s">
        <v>1754</v>
      </c>
    </row>
    <row r="30" spans="1:11" x14ac:dyDescent="0.2">
      <c r="C30" t="s">
        <v>1844</v>
      </c>
      <c r="D30" s="1466" t="s">
        <v>1754</v>
      </c>
      <c r="E30" s="1466"/>
      <c r="F30" s="1466"/>
      <c r="G30" s="1466"/>
      <c r="H30" s="1466"/>
      <c r="I30" s="1466"/>
      <c r="J30" s="1466"/>
      <c r="K30" s="1466"/>
    </row>
    <row r="31" spans="1:11" x14ac:dyDescent="0.2">
      <c r="C31" t="s">
        <v>1845</v>
      </c>
      <c r="D31" s="1466" t="s">
        <v>1754</v>
      </c>
      <c r="E31" s="1466"/>
      <c r="F31" s="1466"/>
      <c r="G31" s="1466"/>
      <c r="H31" s="1466"/>
      <c r="I31" s="1466"/>
      <c r="J31" s="1466"/>
      <c r="K31" s="1466"/>
    </row>
    <row r="32" spans="1:11" x14ac:dyDescent="0.2">
      <c r="B32" s="2110"/>
      <c r="C32" s="2110" t="s">
        <v>1846</v>
      </c>
      <c r="D32" s="1466" t="s">
        <v>1754</v>
      </c>
      <c r="E32" s="1466"/>
      <c r="F32" s="1466"/>
      <c r="G32" s="1466"/>
      <c r="H32" s="1466"/>
      <c r="I32" s="1466"/>
      <c r="J32" s="1466"/>
      <c r="K32" s="1466"/>
    </row>
    <row r="33" spans="2:11" x14ac:dyDescent="0.2">
      <c r="B33" s="2124" t="s">
        <v>1914</v>
      </c>
      <c r="C33" s="2124"/>
      <c r="D33" s="2126"/>
      <c r="E33" s="2125"/>
      <c r="F33" s="2125"/>
      <c r="G33" s="2125"/>
      <c r="H33" s="2125"/>
      <c r="I33" s="2125"/>
      <c r="J33" s="2125"/>
      <c r="K33" s="2125" t="s">
        <v>1754</v>
      </c>
    </row>
    <row r="34" spans="2:11" x14ac:dyDescent="0.2">
      <c r="C34" s="2110" t="s">
        <v>1899</v>
      </c>
      <c r="D34" s="1466"/>
      <c r="E34" s="1466"/>
      <c r="F34" s="1466"/>
      <c r="G34" s="1466"/>
      <c r="H34" s="1466"/>
      <c r="I34" s="1466"/>
      <c r="J34" s="1466" t="s">
        <v>1754</v>
      </c>
      <c r="K34" s="1466"/>
    </row>
    <row r="35" spans="2:11" x14ac:dyDescent="0.2">
      <c r="C35" s="2110" t="s">
        <v>1900</v>
      </c>
      <c r="D35" s="1466"/>
      <c r="E35" s="1466"/>
      <c r="F35" s="1466"/>
      <c r="G35" s="1466"/>
      <c r="H35" s="1466"/>
      <c r="I35" s="1466"/>
      <c r="J35" s="1466" t="s">
        <v>1754</v>
      </c>
      <c r="K35" s="1466"/>
    </row>
    <row r="36" spans="2:11" x14ac:dyDescent="0.2">
      <c r="C36" s="2110" t="s">
        <v>1902</v>
      </c>
      <c r="D36" s="1466" t="s">
        <v>1754</v>
      </c>
      <c r="E36" s="1466"/>
      <c r="F36" s="1466"/>
      <c r="G36" s="1466"/>
      <c r="H36" s="1466"/>
      <c r="I36" s="1466"/>
      <c r="J36" s="1466"/>
      <c r="K36" s="1466"/>
    </row>
    <row r="37" spans="2:11" x14ac:dyDescent="0.2">
      <c r="C37" s="2110" t="s">
        <v>1898</v>
      </c>
      <c r="D37" s="1466"/>
      <c r="E37" s="1466"/>
      <c r="F37" s="1466" t="s">
        <v>1754</v>
      </c>
      <c r="G37" s="1466"/>
      <c r="H37" s="1466"/>
      <c r="I37" s="1466"/>
      <c r="J37" s="1466"/>
      <c r="K37" s="1466"/>
    </row>
    <row r="38" spans="2:11" x14ac:dyDescent="0.2">
      <c r="C38" s="2110" t="s">
        <v>1901</v>
      </c>
      <c r="D38" s="1466"/>
      <c r="E38" s="1466"/>
      <c r="F38" s="1466"/>
      <c r="G38" s="1466"/>
      <c r="H38" s="1466"/>
      <c r="I38" s="1466"/>
      <c r="J38" s="1466" t="s">
        <v>1754</v>
      </c>
      <c r="K38" s="1466"/>
    </row>
    <row r="39" spans="2:11" x14ac:dyDescent="0.2">
      <c r="B39" s="1821" t="s">
        <v>1929</v>
      </c>
      <c r="C39" s="1821"/>
      <c r="D39" s="2125"/>
      <c r="E39" s="2125"/>
      <c r="F39" s="2125"/>
      <c r="G39" s="2125"/>
      <c r="H39" s="2125"/>
      <c r="I39" s="2125"/>
      <c r="J39" s="2125"/>
      <c r="K39" s="2125"/>
    </row>
    <row r="40" spans="2:11" x14ac:dyDescent="0.2">
      <c r="D40" s="1466"/>
      <c r="E40" s="1466"/>
      <c r="F40" s="1466"/>
      <c r="G40" s="1466"/>
      <c r="H40" s="1466"/>
      <c r="I40" s="1466"/>
      <c r="J40" s="1466"/>
      <c r="K40" s="1466"/>
    </row>
    <row r="41" spans="2:11" x14ac:dyDescent="0.2">
      <c r="D41" s="1466"/>
      <c r="E41" s="1466"/>
      <c r="F41" s="1466"/>
      <c r="G41" s="1466"/>
      <c r="H41" s="1466"/>
      <c r="I41" s="1466"/>
      <c r="J41" s="1466"/>
      <c r="K41" s="1466"/>
    </row>
    <row r="42" spans="2:11" x14ac:dyDescent="0.2">
      <c r="D42" s="1466"/>
      <c r="E42" s="1466"/>
      <c r="F42" s="1466"/>
      <c r="G42" s="1466"/>
      <c r="H42" s="1466"/>
      <c r="I42" s="1466"/>
      <c r="J42" s="1466"/>
      <c r="K42" s="1466"/>
    </row>
    <row r="43" spans="2:11" x14ac:dyDescent="0.2">
      <c r="D43" s="1466"/>
      <c r="E43" s="1466"/>
      <c r="F43" s="1466"/>
      <c r="G43" s="1466"/>
      <c r="H43" s="1466"/>
      <c r="I43" s="1466"/>
      <c r="J43" s="1466"/>
      <c r="K43" s="1466"/>
    </row>
    <row r="44" spans="2:11" x14ac:dyDescent="0.2">
      <c r="D44" s="1466"/>
      <c r="E44" s="1466"/>
      <c r="F44" s="1466"/>
      <c r="G44" s="1466"/>
      <c r="H44" s="1466"/>
      <c r="I44" s="1466"/>
      <c r="J44" s="1466"/>
      <c r="K44" s="1466"/>
    </row>
    <row r="45" spans="2:11" x14ac:dyDescent="0.2">
      <c r="D45" s="1466"/>
      <c r="E45" s="1466"/>
      <c r="F45" s="1466"/>
      <c r="G45" s="1466"/>
      <c r="H45" s="1466"/>
      <c r="I45" s="1466"/>
      <c r="J45" s="1466"/>
      <c r="K45" s="1466"/>
    </row>
    <row r="46" spans="2:11" x14ac:dyDescent="0.2">
      <c r="D46" s="1466"/>
      <c r="E46" s="1466"/>
      <c r="F46" s="1466"/>
      <c r="G46" s="1466"/>
      <c r="H46" s="1466"/>
      <c r="I46" s="1466"/>
      <c r="J46" s="1466"/>
      <c r="K46" s="1466"/>
    </row>
    <row r="47" spans="2:11" x14ac:dyDescent="0.2">
      <c r="D47" s="1466"/>
      <c r="E47" s="1466"/>
      <c r="F47" s="1466"/>
      <c r="G47" s="1466"/>
      <c r="H47" s="1466"/>
      <c r="I47" s="1466"/>
      <c r="J47" s="1466"/>
      <c r="K47" s="146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workbookViewId="0">
      <selection activeCell="M75" sqref="M75:Q75"/>
    </sheetView>
  </sheetViews>
  <sheetFormatPr baseColWidth="10" defaultRowHeight="16" x14ac:dyDescent="0.2"/>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9" x14ac:dyDescent="0.35">
      <c r="A1" s="432" t="s">
        <v>328</v>
      </c>
      <c r="B1" s="432"/>
      <c r="C1" s="432"/>
      <c r="D1" s="432"/>
    </row>
    <row r="2" spans="1:32" ht="29" x14ac:dyDescent="0.35">
      <c r="A2" s="432"/>
      <c r="B2" s="432"/>
      <c r="C2" s="432"/>
      <c r="D2" s="432"/>
    </row>
    <row r="3" spans="1:32" ht="29" x14ac:dyDescent="0.35">
      <c r="A3" s="754" t="s">
        <v>679</v>
      </c>
      <c r="B3" s="432"/>
      <c r="C3" s="432"/>
      <c r="D3" s="432"/>
      <c r="O3" s="765" t="s">
        <v>683</v>
      </c>
      <c r="AA3" s="2472" t="s">
        <v>1536</v>
      </c>
      <c r="AB3" s="2472"/>
      <c r="AC3" s="2472"/>
      <c r="AD3" s="2472"/>
      <c r="AE3" s="2472"/>
      <c r="AF3" s="2472"/>
    </row>
    <row r="4" spans="1:32" ht="14" customHeight="1" x14ac:dyDescent="0.35">
      <c r="A4" s="432"/>
      <c r="B4" s="432"/>
      <c r="C4" s="432"/>
      <c r="D4" s="432"/>
    </row>
    <row r="5" spans="1:32" ht="21" x14ac:dyDescent="0.25">
      <c r="A5" s="34" t="s">
        <v>331</v>
      </c>
      <c r="B5" s="34"/>
      <c r="C5" s="34"/>
      <c r="D5" s="34"/>
      <c r="O5" s="34" t="s">
        <v>780</v>
      </c>
      <c r="U5" s="3" t="s">
        <v>1533</v>
      </c>
      <c r="Z5" s="410" t="s">
        <v>18</v>
      </c>
      <c r="AA5" t="s">
        <v>409</v>
      </c>
      <c r="AC5" t="s">
        <v>408</v>
      </c>
      <c r="AE5" t="s">
        <v>242</v>
      </c>
    </row>
    <row r="6" spans="1:32" x14ac:dyDescent="0.2">
      <c r="A6" t="s">
        <v>257</v>
      </c>
      <c r="Z6" s="430" t="s">
        <v>308</v>
      </c>
    </row>
    <row r="7" spans="1:32" ht="18" customHeight="1" x14ac:dyDescent="0.25">
      <c r="G7" s="93"/>
      <c r="H7" s="93"/>
      <c r="I7" s="93"/>
      <c r="J7" s="410"/>
      <c r="U7" s="430" t="s">
        <v>308</v>
      </c>
      <c r="V7" s="1268">
        <f>Test_Bible!AK433</f>
        <v>0</v>
      </c>
    </row>
    <row r="8" spans="1:32" ht="30" customHeight="1" x14ac:dyDescent="0.25">
      <c r="E8" s="752" t="s">
        <v>322</v>
      </c>
      <c r="F8" s="751"/>
      <c r="G8" s="57"/>
      <c r="H8" s="57"/>
      <c r="I8" s="2473" t="s">
        <v>332</v>
      </c>
      <c r="J8" s="2473"/>
      <c r="K8" s="57"/>
      <c r="L8" s="753"/>
      <c r="M8" s="410"/>
      <c r="N8" s="80"/>
      <c r="U8" s="430" t="s">
        <v>334</v>
      </c>
      <c r="V8" s="1268">
        <f>Test_Bible!AL433</f>
        <v>9.9212598425196849E-2</v>
      </c>
    </row>
    <row r="9" spans="1:32" x14ac:dyDescent="0.2">
      <c r="A9" t="s">
        <v>327</v>
      </c>
      <c r="E9" s="90">
        <f>Test_Bible!V259</f>
        <v>391</v>
      </c>
      <c r="F9" s="473"/>
      <c r="G9" s="1328" t="s">
        <v>488</v>
      </c>
      <c r="J9" s="1328" t="s">
        <v>488</v>
      </c>
      <c r="U9" s="430" t="s">
        <v>335</v>
      </c>
      <c r="V9" s="1268">
        <f>Test_Bible!AM433</f>
        <v>9.6062992125984251E-2</v>
      </c>
    </row>
    <row r="10" spans="1:32" x14ac:dyDescent="0.2">
      <c r="A10" s="462" t="s">
        <v>357</v>
      </c>
      <c r="B10" s="55">
        <f>Test_Bible!X259</f>
        <v>0</v>
      </c>
      <c r="C10" s="55">
        <f>Test_Bible!Y259</f>
        <v>66</v>
      </c>
      <c r="D10" s="55">
        <f>Test_Bible!Z259</f>
        <v>132</v>
      </c>
      <c r="E10" s="55">
        <f>Test_Bible!AA259</f>
        <v>264</v>
      </c>
      <c r="F10" s="55">
        <f>Test_Bible!AB259</f>
        <v>462</v>
      </c>
      <c r="G10" s="1329">
        <f>Test_Bible!AC259</f>
        <v>660</v>
      </c>
      <c r="I10" s="90">
        <f>Test_Bible!V427</f>
        <v>160</v>
      </c>
      <c r="J10" s="1329">
        <f>Test_Bible!AC427</f>
        <v>270</v>
      </c>
      <c r="U10" s="418" t="s">
        <v>309</v>
      </c>
      <c r="V10" s="1268">
        <f>Test_Bible!AN433</f>
        <v>8.1889763779527558E-2</v>
      </c>
    </row>
    <row r="11" spans="1:32" x14ac:dyDescent="0.2">
      <c r="A11" s="462"/>
      <c r="B11" s="55"/>
      <c r="C11" s="1330"/>
      <c r="D11" s="1330">
        <f>C10+(D10-C10)/2</f>
        <v>99</v>
      </c>
      <c r="E11" s="1330">
        <f>D10+(E10-D10)/2</f>
        <v>198</v>
      </c>
      <c r="F11" s="1330">
        <f>E10+(F10-E10)/2</f>
        <v>363</v>
      </c>
      <c r="G11" s="1330">
        <f>F10+(G10-F10)/2</f>
        <v>561</v>
      </c>
      <c r="I11" s="90"/>
      <c r="J11" s="1329"/>
      <c r="U11" s="418" t="s">
        <v>336</v>
      </c>
      <c r="V11" s="1268">
        <f>Test_Bible!AO433</f>
        <v>0.24724409448818899</v>
      </c>
    </row>
    <row r="12" spans="1:32" x14ac:dyDescent="0.2">
      <c r="A12" s="462"/>
      <c r="B12" s="55"/>
      <c r="C12" s="58"/>
      <c r="D12" s="1331" t="s">
        <v>1082</v>
      </c>
      <c r="E12" s="1331" t="s">
        <v>26</v>
      </c>
      <c r="F12" s="1331" t="s">
        <v>27</v>
      </c>
      <c r="G12" s="1331" t="s">
        <v>1083</v>
      </c>
      <c r="I12" s="90"/>
      <c r="U12" s="418" t="s">
        <v>337</v>
      </c>
      <c r="V12" s="1268">
        <f>Test_Bible!AP433</f>
        <v>0.22992125984251968</v>
      </c>
    </row>
    <row r="13" spans="1:32" x14ac:dyDescent="0.2">
      <c r="U13" s="418" t="s">
        <v>310</v>
      </c>
      <c r="V13" s="1268">
        <f>Test_Bible!AQ433</f>
        <v>0.13385826771653545</v>
      </c>
    </row>
    <row r="14" spans="1:32" ht="27" customHeight="1" x14ac:dyDescent="0.25">
      <c r="L14" s="975"/>
      <c r="U14" s="418" t="s">
        <v>338</v>
      </c>
      <c r="V14" s="1268">
        <f>Test_Bible!AR433</f>
        <v>0.11181102362204724</v>
      </c>
      <c r="Z14" s="430" t="s">
        <v>334</v>
      </c>
    </row>
    <row r="15" spans="1:32" ht="27" customHeight="1" x14ac:dyDescent="0.2">
      <c r="I15" s="469" t="str">
        <f>IF(AND(Test_Bible!$V$427&lt;=Test_Bible!$AC$427,Test_Bible!$V$427&gt;Test_Bible!$AB$427),Test_Bible!AC428,"")</f>
        <v/>
      </c>
      <c r="L15" s="13"/>
      <c r="Z15" s="430" t="s">
        <v>335</v>
      </c>
    </row>
    <row r="16" spans="1:32" ht="27" customHeight="1" x14ac:dyDescent="0.2">
      <c r="I16" s="459" t="str">
        <f>IF(AND(Test_Bible!$V$427&lt;=Test_Bible!$AB$427,Test_Bible!$V$427&gt;Test_Bible!$AA$427),Test_Bible!AB428,"")</f>
        <v>sévère</v>
      </c>
      <c r="L16" s="13"/>
      <c r="Z16" s="418" t="s">
        <v>309</v>
      </c>
    </row>
    <row r="17" spans="1:41" ht="27" customHeight="1" x14ac:dyDescent="0.2">
      <c r="I17" s="92" t="str">
        <f>IF(AND(Test_Bible!$V$427&lt;=Test_Bible!$AA$427,Test_Bible!$V$427&gt;Test_Bible!$Z$427),Test_Bible!AA428,"")</f>
        <v/>
      </c>
      <c r="L17" s="13"/>
      <c r="Z17" s="418" t="s">
        <v>336</v>
      </c>
    </row>
    <row r="18" spans="1:41" ht="27" customHeight="1" x14ac:dyDescent="0.2">
      <c r="I18" s="460" t="str">
        <f>IF(AND(Test_Bible!$V$427&lt;=Test_Bible!$Z$427,Test_Bible!$V$427&gt;Test_Bible!$Y$427),Test_Bible!Z428,"")</f>
        <v/>
      </c>
      <c r="L18" s="13"/>
      <c r="Z18" s="418" t="s">
        <v>337</v>
      </c>
    </row>
    <row r="19" spans="1:41" ht="27" customHeight="1" x14ac:dyDescent="0.25">
      <c r="I19" s="461" t="str">
        <f>IF(AND(Test_Bible!$V$427&lt;=Test_Bible!$Y$427,Test_Bible!$V$427&lt;&gt;0),Test_Bible!Y428,"")</f>
        <v/>
      </c>
      <c r="L19" s="13"/>
      <c r="V19" s="93"/>
      <c r="W19" s="93" t="s">
        <v>333</v>
      </c>
      <c r="X19" s="409"/>
      <c r="Z19" s="418" t="s">
        <v>310</v>
      </c>
    </row>
    <row r="20" spans="1:41" ht="27" customHeight="1" x14ac:dyDescent="0.2">
      <c r="I20" s="83"/>
      <c r="L20" s="13"/>
      <c r="V20" s="406" t="s">
        <v>29</v>
      </c>
      <c r="W20" s="407" t="s">
        <v>30</v>
      </c>
      <c r="X20" s="408" t="s">
        <v>31</v>
      </c>
      <c r="Z20" s="418" t="s">
        <v>338</v>
      </c>
      <c r="AM20" s="1698"/>
      <c r="AN20" s="1698"/>
      <c r="AO20" s="1698"/>
    </row>
    <row r="21" spans="1:41" x14ac:dyDescent="0.2">
      <c r="U21" t="s">
        <v>990</v>
      </c>
      <c r="V21" s="66">
        <f>Test_Bible!AH433</f>
        <v>0.550561797752809</v>
      </c>
      <c r="W21" s="66">
        <f>Test_Bible!AI433</f>
        <v>0.27768860353130015</v>
      </c>
      <c r="X21" s="66">
        <f>Test_Bible!AJ433</f>
        <v>0.17174959871589085</v>
      </c>
      <c r="AM21" s="141"/>
      <c r="AN21" s="141"/>
      <c r="AO21" s="141"/>
    </row>
    <row r="22" spans="1:41" x14ac:dyDescent="0.2">
      <c r="AM22" s="141"/>
      <c r="AN22" s="141"/>
      <c r="AO22" s="141"/>
    </row>
    <row r="23" spans="1:41" ht="24" x14ac:dyDescent="0.3">
      <c r="A23" s="1326" t="s">
        <v>997</v>
      </c>
      <c r="B23" s="45"/>
      <c r="C23" s="45"/>
      <c r="D23" s="36" t="e">
        <f>'Indice D''exclusion'!#REF!</f>
        <v>#REF!</v>
      </c>
    </row>
    <row r="24" spans="1:41" ht="19" x14ac:dyDescent="0.25">
      <c r="U24" s="410"/>
      <c r="V24" s="93"/>
      <c r="W24" s="93" t="s">
        <v>323</v>
      </c>
      <c r="X24" s="409"/>
    </row>
    <row r="25" spans="1:41" ht="24" x14ac:dyDescent="0.3">
      <c r="A25" s="1326" t="s">
        <v>1074</v>
      </c>
      <c r="B25" s="1326"/>
      <c r="C25" s="1326"/>
      <c r="D25" s="36" t="e">
        <f>#REF!</f>
        <v>#REF!</v>
      </c>
      <c r="V25" s="406" t="s">
        <v>29</v>
      </c>
      <c r="W25" s="407" t="s">
        <v>30</v>
      </c>
      <c r="X25" s="408" t="s">
        <v>31</v>
      </c>
    </row>
    <row r="26" spans="1:41" x14ac:dyDescent="0.2">
      <c r="U26" t="s">
        <v>307</v>
      </c>
      <c r="V26" s="411">
        <f>Test_Bible!AH458</f>
        <v>0.5267857142857143</v>
      </c>
      <c r="W26" s="411">
        <f>Test_Bible!AI458</f>
        <v>0.4107142857142857</v>
      </c>
      <c r="X26" s="411">
        <f>Test_Bible!AJ458</f>
        <v>6.25E-2</v>
      </c>
    </row>
    <row r="28" spans="1:41" x14ac:dyDescent="0.2">
      <c r="U28" t="s">
        <v>324</v>
      </c>
    </row>
    <row r="29" spans="1:41" x14ac:dyDescent="0.2">
      <c r="U29" t="s">
        <v>325</v>
      </c>
    </row>
    <row r="30" spans="1:41" x14ac:dyDescent="0.2">
      <c r="U30" t="s">
        <v>326</v>
      </c>
    </row>
    <row r="31" spans="1:41" ht="21" x14ac:dyDescent="0.25">
      <c r="A31" s="34" t="s">
        <v>311</v>
      </c>
      <c r="B31" s="34"/>
      <c r="C31" s="34"/>
      <c r="D31" s="34"/>
      <c r="O31" s="34" t="s">
        <v>682</v>
      </c>
    </row>
    <row r="32" spans="1:41" ht="24" x14ac:dyDescent="0.3">
      <c r="A32" s="36"/>
      <c r="B32" s="36"/>
      <c r="C32" s="36"/>
      <c r="D32" s="36"/>
    </row>
    <row r="33" spans="1:22" ht="24" x14ac:dyDescent="0.3">
      <c r="A33" s="36"/>
      <c r="B33" s="36"/>
      <c r="C33" s="36"/>
      <c r="D33" s="36"/>
      <c r="E33" s="93" t="s">
        <v>322</v>
      </c>
      <c r="F33" s="93"/>
      <c r="G33" s="93"/>
      <c r="H33" s="93"/>
      <c r="I33" s="93"/>
    </row>
    <row r="34" spans="1:22" x14ac:dyDescent="0.2">
      <c r="A34" t="s">
        <v>327</v>
      </c>
      <c r="E34" s="90">
        <f>Test_Bible!V380</f>
        <v>176</v>
      </c>
      <c r="F34" s="473">
        <f>E34/(G35)</f>
        <v>0.34509803921568627</v>
      </c>
    </row>
    <row r="35" spans="1:22" x14ac:dyDescent="0.2">
      <c r="A35" s="462" t="s">
        <v>357</v>
      </c>
      <c r="B35" s="55">
        <f>Test_Bible!X380</f>
        <v>0</v>
      </c>
      <c r="C35" s="55">
        <f>Test_Bible!Y380</f>
        <v>51</v>
      </c>
      <c r="D35" s="55">
        <f>Test_Bible!Z380</f>
        <v>102</v>
      </c>
      <c r="E35" s="55">
        <f>Test_Bible!AA380</f>
        <v>204</v>
      </c>
      <c r="F35" s="55">
        <f>Test_Bible!AB380</f>
        <v>357</v>
      </c>
      <c r="G35" s="55">
        <f>Test_Bible!AC380</f>
        <v>510</v>
      </c>
    </row>
    <row r="36" spans="1:22" ht="19" x14ac:dyDescent="0.25">
      <c r="U36" s="431" t="s">
        <v>671</v>
      </c>
    </row>
    <row r="38" spans="1:22" x14ac:dyDescent="0.2">
      <c r="U38" s="430" t="s">
        <v>308</v>
      </c>
      <c r="V38" s="1268">
        <f>Test_Bible!AK458</f>
        <v>3.5714285714285712E-2</v>
      </c>
    </row>
    <row r="39" spans="1:22" x14ac:dyDescent="0.2">
      <c r="U39" s="430" t="s">
        <v>334</v>
      </c>
      <c r="V39" s="1268">
        <f>Test_Bible!AL458</f>
        <v>5.9523809523809521E-3</v>
      </c>
    </row>
    <row r="40" spans="1:22" x14ac:dyDescent="0.2">
      <c r="U40" s="430" t="s">
        <v>335</v>
      </c>
      <c r="V40" s="1268">
        <f>Test_Bible!AM458</f>
        <v>8.9285714285714288E-2</v>
      </c>
    </row>
    <row r="41" spans="1:22" x14ac:dyDescent="0.2">
      <c r="U41" s="418" t="s">
        <v>309</v>
      </c>
      <c r="V41" s="1268">
        <f>Test_Bible!AN458</f>
        <v>0.125</v>
      </c>
    </row>
    <row r="42" spans="1:22" x14ac:dyDescent="0.2">
      <c r="U42" s="418" t="s">
        <v>336</v>
      </c>
      <c r="V42" s="1268">
        <f>Test_Bible!AO458</f>
        <v>0.18452380952380953</v>
      </c>
    </row>
    <row r="43" spans="1:22" x14ac:dyDescent="0.2">
      <c r="U43" s="418" t="s">
        <v>337</v>
      </c>
      <c r="V43" s="1268">
        <f>Test_Bible!AP458</f>
        <v>0.13095238095238096</v>
      </c>
    </row>
    <row r="44" spans="1:22" x14ac:dyDescent="0.2">
      <c r="U44" s="418" t="s">
        <v>310</v>
      </c>
      <c r="V44" s="1268">
        <f>Test_Bible!AQ458</f>
        <v>0.25</v>
      </c>
    </row>
    <row r="45" spans="1:22" x14ac:dyDescent="0.2">
      <c r="U45" s="418" t="s">
        <v>338</v>
      </c>
      <c r="V45" s="1268">
        <f>Test_Bible!AR458</f>
        <v>0.17857142857142858</v>
      </c>
    </row>
    <row r="50" spans="1:24" ht="29" x14ac:dyDescent="0.35">
      <c r="A50" s="432"/>
      <c r="B50" s="432"/>
      <c r="C50" s="432"/>
      <c r="D50" s="432"/>
    </row>
    <row r="51" spans="1:24" ht="29" x14ac:dyDescent="0.35">
      <c r="A51" s="754"/>
      <c r="B51" s="432"/>
      <c r="C51" s="432"/>
      <c r="D51" s="432"/>
    </row>
    <row r="52" spans="1:24" ht="40" customHeight="1" x14ac:dyDescent="0.35">
      <c r="A52" s="766" t="s">
        <v>684</v>
      </c>
      <c r="B52" s="432"/>
      <c r="C52" s="432"/>
      <c r="D52" s="432"/>
    </row>
    <row r="53" spans="1:24" ht="19" x14ac:dyDescent="0.2">
      <c r="A53" t="s">
        <v>355</v>
      </c>
      <c r="E53" s="736" t="s">
        <v>670</v>
      </c>
      <c r="G53" s="2474" t="s">
        <v>262</v>
      </c>
      <c r="H53" s="2474"/>
      <c r="I53" s="2474"/>
      <c r="J53" s="2474"/>
      <c r="K53" s="2474"/>
      <c r="M53" s="2475" t="s">
        <v>263</v>
      </c>
      <c r="N53" s="2475"/>
      <c r="O53" s="2475"/>
      <c r="P53" s="2475"/>
      <c r="Q53" s="2475"/>
      <c r="S53" s="2469" t="s">
        <v>264</v>
      </c>
      <c r="T53" s="2469"/>
      <c r="U53" s="2469"/>
      <c r="V53" s="2469"/>
      <c r="W53" s="756"/>
    </row>
    <row r="54" spans="1:24" ht="27" customHeight="1" x14ac:dyDescent="0.2">
      <c r="A54" s="1445" t="str">
        <f>'Modèle Calcul A-R + Sommaire'!AY10</f>
        <v>Demande de garder des secrets</v>
      </c>
      <c r="B54" s="1445"/>
      <c r="C54" s="1445"/>
      <c r="D54" s="1445"/>
      <c r="E54" s="1446" t="str">
        <f>'Modèle Calcul A-R + Sommaire'!BB10</f>
        <v/>
      </c>
      <c r="F54" s="1447" t="str">
        <f>'Modèle Calcul A-R + Sommaire'!BA10</f>
        <v>🟥</v>
      </c>
      <c r="G54" s="1448" t="str">
        <f>'Modèle Calcul A-R + Sommaire'!BC10</f>
        <v/>
      </c>
      <c r="H54" s="1449"/>
      <c r="I54" s="1449"/>
      <c r="J54" s="1449"/>
      <c r="K54" s="1449"/>
      <c r="L54" s="1450" t="str">
        <f>'Modèle Calcul A-R + Sommaire'!BD10</f>
        <v>🔸</v>
      </c>
      <c r="M54" s="2470" t="str">
        <f>'Modèle Calcul A-R + Sommaire'!BF10</f>
        <v/>
      </c>
      <c r="N54" s="2470"/>
      <c r="O54" s="2470"/>
      <c r="P54" s="2470"/>
      <c r="Q54" s="2470"/>
      <c r="R54" s="1447" t="str">
        <f>'Modèle Calcul A-R + Sommaire'!BG10</f>
        <v>🟢</v>
      </c>
      <c r="S54" s="2470" t="str">
        <f>'Modèle Calcul A-R + Sommaire'!BI10</f>
        <v>Bien que le parent demande de garder des secrets | cacher des choses l'enfant ne semble pas s'ingérer</v>
      </c>
      <c r="T54" s="2470"/>
      <c r="U54" s="2470"/>
      <c r="V54" s="2470"/>
      <c r="W54" s="757"/>
      <c r="X54" s="757"/>
    </row>
    <row r="55" spans="1:24" ht="38" customHeight="1" x14ac:dyDescent="0.2">
      <c r="A55" s="1451" t="str">
        <f>'Modèle Calcul A-R + Sommaire'!AY11</f>
        <v>Abandon de la famille</v>
      </c>
      <c r="B55" s="1452"/>
      <c r="C55" s="1452"/>
      <c r="D55" s="1452"/>
      <c r="E55" s="1453" t="str">
        <f>'Modèle Calcul A-R + Sommaire'!BB11</f>
        <v/>
      </c>
      <c r="F55" s="1454" t="str">
        <f>'Modèle Calcul A-R + Sommaire'!BA11</f>
        <v>🟥</v>
      </c>
      <c r="G55" s="1455" t="str">
        <f>'Modèle Calcul A-R + Sommaire'!BC11</f>
        <v/>
      </c>
      <c r="H55" s="1456"/>
      <c r="I55" s="1456"/>
      <c r="J55" s="1456"/>
      <c r="K55" s="1456"/>
      <c r="L55" s="1457" t="str">
        <f>'Modèle Calcul A-R + Sommaire'!BD11</f>
        <v>🔸</v>
      </c>
      <c r="M55" s="2468" t="str">
        <f>'Modèle Calcul A-R + Sommaire'!BF11</f>
        <v/>
      </c>
      <c r="N55" s="2468"/>
      <c r="O55" s="2468"/>
      <c r="P55" s="2468"/>
      <c r="Q55" s="2468"/>
      <c r="R55" s="1454" t="str">
        <f>'Modèle Calcul A-R + Sommaire'!BG11</f>
        <v>🟢</v>
      </c>
      <c r="S55" s="2468" t="str">
        <f>'Modèle Calcul A-R + Sommaire'!BI11</f>
        <v>Bien que le parent laisse entendre que vous ne l'aimez pas l'enfant ne semble pas s'ingérer</v>
      </c>
      <c r="T55" s="2468"/>
      <c r="U55" s="2468"/>
      <c r="V55" s="2468"/>
      <c r="W55" s="757"/>
      <c r="X55" s="757"/>
    </row>
    <row r="56" spans="1:24" ht="37" customHeight="1" x14ac:dyDescent="0.2">
      <c r="A56" s="1451" t="str">
        <f>'Modèle Calcul A-R + Sommaire'!AY12</f>
        <v>Accusation de maladie mentale et dangerosité</v>
      </c>
      <c r="B56" s="1452"/>
      <c r="C56" s="1452"/>
      <c r="D56" s="1452"/>
      <c r="E56" s="1453" t="str">
        <f>'Modèle Calcul A-R + Sommaire'!BB12</f>
        <v/>
      </c>
      <c r="F56" s="1454" t="str">
        <f>'Modèle Calcul A-R + Sommaire'!BA12</f>
        <v>🟥</v>
      </c>
      <c r="G56" s="1455" t="str">
        <f>'Modèle Calcul A-R + Sommaire'!BC12</f>
        <v/>
      </c>
      <c r="H56" s="1456"/>
      <c r="I56" s="1456"/>
      <c r="J56" s="1456"/>
      <c r="K56" s="1456"/>
      <c r="L56" s="1457" t="str">
        <f>'Modèle Calcul A-R + Sommaire'!BD12</f>
        <v>🔸</v>
      </c>
      <c r="M56" s="2468" t="str">
        <f>'Modèle Calcul A-R + Sommaire'!BF12</f>
        <v/>
      </c>
      <c r="N56" s="2468"/>
      <c r="O56" s="2468"/>
      <c r="P56" s="2468"/>
      <c r="Q56" s="2468"/>
      <c r="R56" s="1454" t="str">
        <f>'Modèle Calcul A-R + Sommaire'!BG12</f>
        <v>🟢</v>
      </c>
      <c r="S56" s="2468" t="str">
        <f>'Modèle Calcul A-R + Sommaire'!BI12</f>
        <v>Bien que le parent laisse entendre que vous êtes instable psychologiquement l'enfant ne semble pas s'ingérer</v>
      </c>
      <c r="T56" s="2468"/>
      <c r="U56" s="2468"/>
      <c r="V56" s="2468"/>
      <c r="W56" s="757"/>
      <c r="X56" s="757"/>
    </row>
    <row r="57" spans="1:24" ht="29" x14ac:dyDescent="0.2">
      <c r="A57" s="1451" t="str">
        <f>'Modèle Calcul A-R + Sommaire'!AY13</f>
        <v>Manque de sécurité</v>
      </c>
      <c r="B57" s="1452"/>
      <c r="C57" s="1452"/>
      <c r="D57" s="1452"/>
      <c r="E57" s="1453" t="str">
        <f>'Modèle Calcul A-R + Sommaire'!BB13</f>
        <v/>
      </c>
      <c r="F57" s="1454" t="str">
        <f>'Modèle Calcul A-R + Sommaire'!BA13</f>
        <v>🟥</v>
      </c>
      <c r="G57" s="1455" t="str">
        <f>'Modèle Calcul A-R + Sommaire'!BC13</f>
        <v/>
      </c>
      <c r="H57" s="1456"/>
      <c r="I57" s="1456"/>
      <c r="J57" s="1456"/>
      <c r="K57" s="1456"/>
      <c r="L57" s="1457" t="str">
        <f>'Modèle Calcul A-R + Sommaire'!BD13</f>
        <v>🔸</v>
      </c>
      <c r="M57" s="2468" t="str">
        <f>'Modèle Calcul A-R + Sommaire'!BF13</f>
        <v/>
      </c>
      <c r="N57" s="2468"/>
      <c r="O57" s="2468"/>
      <c r="P57" s="2468"/>
      <c r="Q57" s="2468"/>
      <c r="R57" s="1454" t="str">
        <f>'Modèle Calcul A-R + Sommaire'!BG13</f>
        <v>🟢</v>
      </c>
      <c r="S57" s="2468" t="str">
        <f>'Modèle Calcul A-R + Sommaire'!BI13</f>
        <v>Bien que le parent Le nouveau conjoint.e laisse entendre que l'enfant n'est pas en sécurité l'enfant ne semble pas s'ingérer</v>
      </c>
      <c r="T57" s="2468"/>
      <c r="U57" s="2468"/>
      <c r="V57" s="2468"/>
      <c r="W57" s="757"/>
      <c r="X57" s="757"/>
    </row>
    <row r="58" spans="1:24" ht="29" x14ac:dyDescent="0.2">
      <c r="A58" s="1451" t="str">
        <f>'Modèle Calcul A-R + Sommaire'!AY14</f>
        <v>Modifications des faits et souvenirs</v>
      </c>
      <c r="B58" s="1452"/>
      <c r="C58" s="1452"/>
      <c r="D58" s="1452"/>
      <c r="E58" s="1453">
        <f>'Modèle Calcul A-R + Sommaire'!BB14</f>
        <v>27</v>
      </c>
      <c r="F58" s="1454" t="str">
        <f>'Modèle Calcul A-R + Sommaire'!BA14</f>
        <v>🟥</v>
      </c>
      <c r="G58" s="1455" t="str">
        <f>'Modèle Calcul A-R + Sommaire'!BC14</f>
        <v>déforme les souvenirs</v>
      </c>
      <c r="H58" s="1456"/>
      <c r="I58" s="1456"/>
      <c r="J58" s="1456"/>
      <c r="K58" s="1456"/>
      <c r="L58" s="1457" t="str">
        <f>'Modèle Calcul A-R + Sommaire'!BD14</f>
        <v>🔸</v>
      </c>
      <c r="M58" s="2468" t="str">
        <f>'Modèle Calcul A-R + Sommaire'!BF14</f>
        <v/>
      </c>
      <c r="N58" s="2468"/>
      <c r="O58" s="2468"/>
      <c r="P58" s="2468"/>
      <c r="Q58" s="2468"/>
      <c r="R58" s="1454" t="str">
        <f>'Modèle Calcul A-R + Sommaire'!BG14</f>
        <v>🟢</v>
      </c>
      <c r="S58" s="2468" t="str">
        <f>'Modèle Calcul A-R + Sommaire'!BI14</f>
        <v/>
      </c>
      <c r="T58" s="2468"/>
      <c r="U58" s="2468"/>
      <c r="V58" s="2468"/>
      <c r="W58" s="757"/>
      <c r="X58" s="757"/>
    </row>
    <row r="59" spans="1:24" ht="29" x14ac:dyDescent="0.2">
      <c r="A59" s="1451" t="str">
        <f>'Modèle Calcul A-R + Sommaire'!AY15</f>
        <v>Culpabilise l'enfant de son amour envers vous</v>
      </c>
      <c r="B59" s="1452"/>
      <c r="C59" s="1452"/>
      <c r="D59" s="1452"/>
      <c r="E59" s="1453" t="str">
        <f>'Modèle Calcul A-R + Sommaire'!BB15</f>
        <v/>
      </c>
      <c r="F59" s="1454" t="str">
        <f>'Modèle Calcul A-R + Sommaire'!BA15</f>
        <v>🟥</v>
      </c>
      <c r="G59" s="2468" t="str">
        <f>'Modèle Calcul A-R + Sommaire'!BC15</f>
        <v/>
      </c>
      <c r="H59" s="2468"/>
      <c r="I59" s="2468"/>
      <c r="J59" s="2468"/>
      <c r="K59" s="2468"/>
      <c r="L59" s="1457" t="str">
        <f>'Modèle Calcul A-R + Sommaire'!BD15</f>
        <v>🔸</v>
      </c>
      <c r="M59" s="2468" t="str">
        <f>'Modèle Calcul A-R + Sommaire'!BF15</f>
        <v/>
      </c>
      <c r="N59" s="2468"/>
      <c r="O59" s="2468"/>
      <c r="P59" s="2468"/>
      <c r="Q59" s="2468"/>
      <c r="R59" s="1454" t="str">
        <f>'Modèle Calcul A-R + Sommaire'!BG15</f>
        <v>🟢</v>
      </c>
      <c r="S59" s="2468" t="str">
        <f>'Modèle Calcul A-R + Sommaire'!BI15</f>
        <v>Bien que le parent culpabilise l'enfant pour son amour pour vous l'enfant ne semble pas s'ingérer</v>
      </c>
      <c r="T59" s="2468"/>
      <c r="U59" s="2468"/>
      <c r="V59" s="2468"/>
      <c r="W59" s="757"/>
      <c r="X59" s="757"/>
    </row>
    <row r="60" spans="1:24" ht="29" x14ac:dyDescent="0.2">
      <c r="A60" s="1451" t="str">
        <f>'Modèle Calcul A-R + Sommaire'!AY16</f>
        <v>Intervention à la suite d'un retour de garde</v>
      </c>
      <c r="B60" s="1452"/>
      <c r="C60" s="1452"/>
      <c r="D60" s="1452"/>
      <c r="E60" s="1453" t="str">
        <f>'Modèle Calcul A-R + Sommaire'!BB16</f>
        <v/>
      </c>
      <c r="F60" s="1454" t="str">
        <f>'Modèle Calcul A-R + Sommaire'!BA16</f>
        <v>🟥</v>
      </c>
      <c r="G60" s="1455" t="str">
        <f>'Modèle Calcul A-R + Sommaire'!BC16</f>
        <v/>
      </c>
      <c r="H60" s="1456"/>
      <c r="I60" s="1456"/>
      <c r="J60" s="1456"/>
      <c r="K60" s="1456"/>
      <c r="L60" s="1457" t="str">
        <f>'Modèle Calcul A-R + Sommaire'!BD16</f>
        <v>🔸</v>
      </c>
      <c r="M60" s="2468" t="str">
        <f>'Modèle Calcul A-R + Sommaire'!BF16</f>
        <v/>
      </c>
      <c r="N60" s="2468"/>
      <c r="O60" s="2468"/>
      <c r="P60" s="2468"/>
      <c r="Q60" s="2468"/>
      <c r="R60" s="1454" t="str">
        <f>'Modèle Calcul A-R + Sommaire'!BG16</f>
        <v>🟢</v>
      </c>
      <c r="S60" s="2468" t="str">
        <f>'Modèle Calcul A-R + Sommaire'!BI16</f>
        <v>Bien que le parent accable de reproches par courriel ou texto au retour de garde l'enfant ne semble pas s'ingérer</v>
      </c>
      <c r="T60" s="2468"/>
      <c r="U60" s="2468"/>
      <c r="V60" s="2468"/>
      <c r="W60" s="757"/>
      <c r="X60" s="757"/>
    </row>
    <row r="61" spans="1:24" ht="29" x14ac:dyDescent="0.2">
      <c r="A61" s="1451" t="str">
        <f>'Modèle Calcul A-R + Sommaire'!AY17</f>
        <v>Réaction en présence des deux parents</v>
      </c>
      <c r="B61" s="1452"/>
      <c r="C61" s="1452"/>
      <c r="D61" s="1452"/>
      <c r="E61" s="1453">
        <f>'Modèle Calcul A-R + Sommaire'!BB17</f>
        <v>21</v>
      </c>
      <c r="F61" s="1454" t="str">
        <f>'Modèle Calcul A-R + Sommaire'!BA17</f>
        <v>🟥</v>
      </c>
      <c r="G61" s="1455" t="str">
        <f>'Modèle Calcul A-R + Sommaire'!BC17</f>
        <v>change d'attitude lorsqu'il est en présence des deux parents</v>
      </c>
      <c r="H61" s="1456"/>
      <c r="I61" s="1456"/>
      <c r="J61" s="1456"/>
      <c r="K61" s="1456"/>
      <c r="L61" s="1457" t="str">
        <f>'Modèle Calcul A-R + Sommaire'!BD17</f>
        <v>🔸</v>
      </c>
      <c r="M61" s="2468" t="str">
        <f>'Modèle Calcul A-R + Sommaire'!BF17</f>
        <v/>
      </c>
      <c r="N61" s="2468"/>
      <c r="O61" s="2468"/>
      <c r="P61" s="2468"/>
      <c r="Q61" s="2468"/>
      <c r="R61" s="1454" t="str">
        <f>'Modèle Calcul A-R + Sommaire'!BG17</f>
        <v>🟢</v>
      </c>
      <c r="S61" s="2468" t="str">
        <f>'Modèle Calcul A-R + Sommaire'!BI17</f>
        <v/>
      </c>
      <c r="T61" s="2468"/>
      <c r="U61" s="2468"/>
      <c r="V61" s="2468"/>
      <c r="W61" s="757"/>
      <c r="X61" s="757"/>
    </row>
    <row r="62" spans="1:24" ht="29" x14ac:dyDescent="0.2">
      <c r="A62" s="1451" t="str">
        <f>'Modèle Calcul A-R + Sommaire'!AY18</f>
        <v>Dénigre l'autre</v>
      </c>
      <c r="B62" s="1452"/>
      <c r="C62" s="1452"/>
      <c r="D62" s="1452"/>
      <c r="E62" s="1453" t="str">
        <f>'Modèle Calcul A-R + Sommaire'!BB18</f>
        <v/>
      </c>
      <c r="F62" s="1454" t="str">
        <f>'Modèle Calcul A-R + Sommaire'!BA18</f>
        <v>🟥</v>
      </c>
      <c r="G62" s="1455" t="str">
        <f>'Modèle Calcul A-R + Sommaire'!BC18</f>
        <v/>
      </c>
      <c r="H62" s="1456"/>
      <c r="I62" s="1456"/>
      <c r="J62" s="1456"/>
      <c r="K62" s="1456"/>
      <c r="L62" s="1457" t="str">
        <f>'Modèle Calcul A-R + Sommaire'!BD18</f>
        <v>🔸</v>
      </c>
      <c r="M62" s="2468" t="str">
        <f>'Modèle Calcul A-R + Sommaire'!BF18</f>
        <v/>
      </c>
      <c r="N62" s="2468"/>
      <c r="O62" s="2468"/>
      <c r="P62" s="2468"/>
      <c r="Q62" s="2468"/>
      <c r="R62" s="1454" t="str">
        <f>'Modèle Calcul A-R + Sommaire'!BG18</f>
        <v>🟢</v>
      </c>
      <c r="S62" s="2468" t="str">
        <f>'Modèle Calcul A-R + Sommaire'!BI18</f>
        <v>Bien que le parent dénigre vos compétences parentales par texto, courriel, etc. l'enfant ne semble pas s'ingérer</v>
      </c>
      <c r="T62" s="2468"/>
      <c r="U62" s="2468"/>
      <c r="V62" s="2468"/>
      <c r="W62" s="757"/>
      <c r="X62" s="757"/>
    </row>
    <row r="63" spans="1:24" ht="29" x14ac:dyDescent="0.2">
      <c r="A63" s="1451" t="str">
        <f>'Modèle Calcul A-R + Sommaire'!AY19</f>
        <v>Dénigre la nouvelle famille</v>
      </c>
      <c r="B63" s="1452"/>
      <c r="C63" s="1452"/>
      <c r="D63" s="1452"/>
      <c r="E63" s="1453" t="str">
        <f>'Modèle Calcul A-R + Sommaire'!BB19</f>
        <v/>
      </c>
      <c r="F63" s="1454" t="str">
        <f>'Modèle Calcul A-R + Sommaire'!BA19</f>
        <v>🟥</v>
      </c>
      <c r="G63" s="1455" t="str">
        <f>'Modèle Calcul A-R + Sommaire'!BC19</f>
        <v/>
      </c>
      <c r="H63" s="1456"/>
      <c r="I63" s="1456"/>
      <c r="J63" s="1456"/>
      <c r="K63" s="1456"/>
      <c r="L63" s="1457" t="str">
        <f>'Modèle Calcul A-R + Sommaire'!BD19</f>
        <v>🔸</v>
      </c>
      <c r="M63" s="2468" t="str">
        <f>'Modèle Calcul A-R + Sommaire'!BF19</f>
        <v/>
      </c>
      <c r="N63" s="2468"/>
      <c r="O63" s="2468"/>
      <c r="P63" s="2468"/>
      <c r="Q63" s="2468"/>
      <c r="R63" s="1454" t="str">
        <f>'Modèle Calcul A-R + Sommaire'!BG19</f>
        <v>🟢</v>
      </c>
      <c r="S63" s="2468" t="str">
        <f>'Modèle Calcul A-R + Sommaire'!BI19</f>
        <v/>
      </c>
      <c r="T63" s="2468"/>
      <c r="U63" s="2468"/>
      <c r="V63" s="2468"/>
      <c r="W63" s="757"/>
      <c r="X63" s="757"/>
    </row>
    <row r="64" spans="1:24" ht="29" x14ac:dyDescent="0.2">
      <c r="A64" s="1451" t="str">
        <f>'Modèle Calcul A-R + Sommaire'!AY20</f>
        <v>La nouvelle famille est "LA vraie"</v>
      </c>
      <c r="B64" s="1452"/>
      <c r="C64" s="1452"/>
      <c r="D64" s="1452"/>
      <c r="E64" s="1453" t="str">
        <f>'Modèle Calcul A-R + Sommaire'!BB20</f>
        <v/>
      </c>
      <c r="F64" s="1454" t="str">
        <f>'Modèle Calcul A-R + Sommaire'!BA20</f>
        <v>🟥</v>
      </c>
      <c r="G64" s="1455" t="str">
        <f>'Modèle Calcul A-R + Sommaire'!BC20</f>
        <v/>
      </c>
      <c r="H64" s="1456"/>
      <c r="I64" s="1456"/>
      <c r="J64" s="1456"/>
      <c r="K64" s="1456"/>
      <c r="L64" s="1457" t="str">
        <f>'Modèle Calcul A-R + Sommaire'!BD20</f>
        <v>🔸</v>
      </c>
      <c r="M64" s="2468" t="str">
        <f>'Modèle Calcul A-R + Sommaire'!BF20</f>
        <v>laisse entendre que la vraie famille est celle de l'autre parent sans signe de la participation du parent favorisé et|ou nouveau conjoint.e</v>
      </c>
      <c r="N64" s="2468"/>
      <c r="O64" s="2468"/>
      <c r="P64" s="2468"/>
      <c r="Q64" s="2468"/>
      <c r="R64" s="1454" t="str">
        <f>'Modèle Calcul A-R + Sommaire'!BG20</f>
        <v>🟢</v>
      </c>
      <c r="S64" s="2468" t="str">
        <f>'Modèle Calcul A-R + Sommaire'!BI20</f>
        <v/>
      </c>
      <c r="T64" s="2468"/>
      <c r="U64" s="2468"/>
      <c r="V64" s="2468"/>
      <c r="W64" s="757"/>
      <c r="X64" s="757"/>
    </row>
    <row r="65" spans="1:24" ht="29" x14ac:dyDescent="0.2">
      <c r="A65" s="1451" t="str">
        <f>'Modèle Calcul A-R + Sommaire'!AY21</f>
        <v>Le nouveau ou la nouvelle conjoint.e se fait appeler "papa" ou "maman"</v>
      </c>
      <c r="B65" s="1452"/>
      <c r="C65" s="1452"/>
      <c r="D65" s="1452"/>
      <c r="E65" s="1453" t="str">
        <f>'Modèle Calcul A-R + Sommaire'!BB21</f>
        <v/>
      </c>
      <c r="F65" s="1454" t="str">
        <f>'Modèle Calcul A-R + Sommaire'!BA21</f>
        <v>🟥</v>
      </c>
      <c r="G65" s="1455" t="str">
        <f>'Modèle Calcul A-R + Sommaire'!BC21</f>
        <v/>
      </c>
      <c r="H65" s="1456"/>
      <c r="I65" s="1456"/>
      <c r="J65" s="1456"/>
      <c r="K65" s="1456"/>
      <c r="L65" s="1457" t="str">
        <f>'Modèle Calcul A-R + Sommaire'!BD21</f>
        <v>🔸</v>
      </c>
      <c r="M65" s="2468" t="str">
        <f>'Modèle Calcul A-R + Sommaire'!BF21</f>
        <v/>
      </c>
      <c r="N65" s="2468"/>
      <c r="O65" s="2468"/>
      <c r="P65" s="2468"/>
      <c r="Q65" s="2468"/>
      <c r="R65" s="1454" t="str">
        <f>'Modèle Calcul A-R + Sommaire'!BG21</f>
        <v>🟢</v>
      </c>
      <c r="S65" s="2468" t="str">
        <f>'Modèle Calcul A-R + Sommaire'!BI21</f>
        <v/>
      </c>
      <c r="T65" s="2468"/>
      <c r="U65" s="2468"/>
      <c r="V65" s="2468"/>
      <c r="W65" s="757"/>
      <c r="X65" s="757"/>
    </row>
    <row r="66" spans="1:24" ht="29" x14ac:dyDescent="0.2">
      <c r="A66" s="1451" t="str">
        <f>'Modèle Calcul A-R + Sommaire'!AY22</f>
        <v>Changement d'horaire de l'enfant</v>
      </c>
      <c r="B66" s="1452"/>
      <c r="C66" s="1452"/>
      <c r="D66" s="1452"/>
      <c r="E66" s="1453" t="str">
        <f>'Modèle Calcul A-R + Sommaire'!BB22</f>
        <v/>
      </c>
      <c r="F66" s="1454" t="str">
        <f>'Modèle Calcul A-R + Sommaire'!BA22</f>
        <v>🟥</v>
      </c>
      <c r="G66" s="1455" t="str">
        <f>'Modèle Calcul A-R + Sommaire'!BC22</f>
        <v/>
      </c>
      <c r="H66" s="1456"/>
      <c r="I66" s="1456"/>
      <c r="J66" s="1456"/>
      <c r="K66" s="1456"/>
      <c r="L66" s="1457" t="str">
        <f>'Modèle Calcul A-R + Sommaire'!BD22</f>
        <v>🔸</v>
      </c>
      <c r="M66" s="2468" t="str">
        <f>'Modèle Calcul A-R + Sommaire'!BF22</f>
        <v/>
      </c>
      <c r="N66" s="2468"/>
      <c r="O66" s="2468"/>
      <c r="P66" s="2468"/>
      <c r="Q66" s="2468"/>
      <c r="R66" s="1454" t="str">
        <f>'Modèle Calcul A-R + Sommaire'!BG22</f>
        <v>🟢</v>
      </c>
      <c r="S66" s="2468" t="str">
        <f>'Modèle Calcul A-R + Sommaire'!BI22</f>
        <v>Bien que le parent Le nouveau conjoint.e impose des changements d'horaire sans consultation auprès de l'autre l'enfant ne semble pas s'ingérer</v>
      </c>
      <c r="T66" s="2468"/>
      <c r="U66" s="2468"/>
      <c r="V66" s="2468"/>
      <c r="W66" s="757"/>
      <c r="X66" s="757"/>
    </row>
    <row r="67" spans="1:24" ht="29" x14ac:dyDescent="0.2">
      <c r="A67" s="1451" t="str">
        <f>'Modèle Calcul A-R + Sommaire'!AY23</f>
        <v>Organise des activités hors de sa garde</v>
      </c>
      <c r="B67" s="1452"/>
      <c r="C67" s="1452"/>
      <c r="D67" s="1452"/>
      <c r="E67" s="1453">
        <f>'Modèle Calcul A-R + Sommaire'!BB23</f>
        <v>50</v>
      </c>
      <c r="F67" s="1454" t="str">
        <f>'Modèle Calcul A-R + Sommaire'!BA23</f>
        <v>🟥</v>
      </c>
      <c r="G67" s="1455" t="str">
        <f>'Modèle Calcul A-R + Sommaire'!BC23</f>
        <v>subit de la pression pour passer plus de temps chez l'autre</v>
      </c>
      <c r="H67" s="1456"/>
      <c r="I67" s="1456"/>
      <c r="J67" s="1456"/>
      <c r="K67" s="1456"/>
      <c r="L67" s="1457" t="str">
        <f>'Modèle Calcul A-R + Sommaire'!BD23</f>
        <v>🔸</v>
      </c>
      <c r="M67" s="2468" t="str">
        <f>'Modèle Calcul A-R + Sommaire'!BF23</f>
        <v/>
      </c>
      <c r="N67" s="2468"/>
      <c r="O67" s="2468"/>
      <c r="P67" s="2468"/>
      <c r="Q67" s="2468"/>
      <c r="R67" s="1454" t="str">
        <f>'Modèle Calcul A-R + Sommaire'!BG23</f>
        <v>🟢</v>
      </c>
      <c r="S67" s="2468" t="str">
        <f>'Modèle Calcul A-R + Sommaire'!BI23</f>
        <v/>
      </c>
      <c r="T67" s="2468"/>
      <c r="U67" s="2468"/>
      <c r="V67" s="2468"/>
      <c r="W67" s="757"/>
      <c r="X67" s="757"/>
    </row>
    <row r="68" spans="1:24" ht="36" customHeight="1" x14ac:dyDescent="0.2">
      <c r="A68" s="1451" t="str">
        <f>'Modèle Calcul A-R + Sommaire'!AY24</f>
        <v>Impose sa présence (appel, texto)</v>
      </c>
      <c r="B68" s="1452"/>
      <c r="C68" s="1452"/>
      <c r="D68" s="1452"/>
      <c r="E68" s="1453" t="str">
        <f>'Modèle Calcul A-R + Sommaire'!BB24</f>
        <v/>
      </c>
      <c r="F68" s="1454" t="str">
        <f>'Modèle Calcul A-R + Sommaire'!BA24</f>
        <v>🟥</v>
      </c>
      <c r="G68" s="1455" t="str">
        <f>'Modèle Calcul A-R + Sommaire'!BC24</f>
        <v/>
      </c>
      <c r="H68" s="1456"/>
      <c r="I68" s="1456"/>
      <c r="J68" s="1456"/>
      <c r="K68" s="1456"/>
      <c r="L68" s="1457" t="str">
        <f>'Modèle Calcul A-R + Sommaire'!BD24</f>
        <v>🔸</v>
      </c>
      <c r="M68" s="2468" t="str">
        <f>'Modèle Calcul A-R + Sommaire'!BF24</f>
        <v/>
      </c>
      <c r="N68" s="2468"/>
      <c r="O68" s="2468"/>
      <c r="P68" s="2468"/>
      <c r="Q68" s="2468"/>
      <c r="R68" s="1454" t="str">
        <f>'Modèle Calcul A-R + Sommaire'!BG24</f>
        <v>🟢</v>
      </c>
      <c r="S68" s="2468" t="str">
        <f>'Modèle Calcul A-R + Sommaire'!BI24</f>
        <v>Bien que le parent Le nouveau conjoint.e impose sa présence régulièrement durant votre temps de garde l'enfant ne semble pas s'ingérer</v>
      </c>
      <c r="T68" s="2468"/>
      <c r="U68" s="2468"/>
      <c r="V68" s="2468"/>
      <c r="W68" s="757"/>
      <c r="X68" s="757"/>
    </row>
    <row r="69" spans="1:24" ht="39" customHeight="1" x14ac:dyDescent="0.2">
      <c r="A69" s="1451" t="str">
        <f>'Modèle Calcul A-R + Sommaire'!AY25</f>
        <v>Contrôle des communications</v>
      </c>
      <c r="B69" s="1452"/>
      <c r="C69" s="1452"/>
      <c r="D69" s="1452"/>
      <c r="E69" s="1453" t="str">
        <f>'Modèle Calcul A-R + Sommaire'!BB25</f>
        <v/>
      </c>
      <c r="F69" s="1454" t="str">
        <f>'Modèle Calcul A-R + Sommaire'!BA25</f>
        <v>🟥</v>
      </c>
      <c r="G69" s="1455" t="str">
        <f>'Modèle Calcul A-R + Sommaire'!BC25</f>
        <v/>
      </c>
      <c r="H69" s="1456"/>
      <c r="I69" s="1456"/>
      <c r="J69" s="1456"/>
      <c r="K69" s="1456"/>
      <c r="L69" s="1457" t="str">
        <f>'Modèle Calcul A-R + Sommaire'!BD25</f>
        <v>🔸</v>
      </c>
      <c r="M69" s="2468" t="str">
        <f>'Modèle Calcul A-R + Sommaire'!BF25</f>
        <v/>
      </c>
      <c r="N69" s="2468"/>
      <c r="O69" s="2468"/>
      <c r="P69" s="2468"/>
      <c r="Q69" s="2468"/>
      <c r="R69" s="1454" t="str">
        <f>'Modèle Calcul A-R + Sommaire'!BG25</f>
        <v>🟢</v>
      </c>
      <c r="S69" s="2468" t="str">
        <f>'Modèle Calcul A-R + Sommaire'!BI25</f>
        <v>Bien que le parent Le nouveau conjoint.e contrôle et écourte les conversations téléphoniques l'enfant ne semble pas s'ingérer</v>
      </c>
      <c r="T69" s="2468"/>
      <c r="U69" s="2468"/>
      <c r="V69" s="2468"/>
      <c r="W69" s="757"/>
      <c r="X69" s="757"/>
    </row>
    <row r="70" spans="1:24" ht="29" x14ac:dyDescent="0.35">
      <c r="A70" s="758" t="str">
        <f>'Modèle Calcul A-R + Sommaire'!AY26</f>
        <v>Contact de l'enfant avec la famille élargie</v>
      </c>
      <c r="B70" s="759"/>
      <c r="C70" s="759"/>
      <c r="D70" s="759"/>
      <c r="E70" s="760" t="str">
        <f>'Modèle Calcul A-R + Sommaire'!BB26</f>
        <v/>
      </c>
      <c r="F70" s="761" t="str">
        <f>'Modèle Calcul A-R + Sommaire'!BA26</f>
        <v>🟥</v>
      </c>
      <c r="G70" s="762" t="str">
        <f>'Modèle Calcul A-R + Sommaire'!BC26</f>
        <v/>
      </c>
      <c r="H70" s="763"/>
      <c r="I70" s="763"/>
      <c r="J70" s="763"/>
      <c r="K70" s="763"/>
      <c r="L70" s="764" t="str">
        <f>'Modèle Calcul A-R + Sommaire'!BD26</f>
        <v>🔸</v>
      </c>
      <c r="M70" s="2467" t="str">
        <f>'Modèle Calcul A-R + Sommaire'!BF26</f>
        <v/>
      </c>
      <c r="N70" s="2467"/>
      <c r="O70" s="2467"/>
      <c r="P70" s="2467"/>
      <c r="Q70" s="2467"/>
      <c r="R70" s="761" t="str">
        <f>'Modèle Calcul A-R + Sommaire'!BG26</f>
        <v>🟢</v>
      </c>
      <c r="S70" s="2467" t="str">
        <f>'Modèle Calcul A-R + Sommaire'!BI26</f>
        <v/>
      </c>
      <c r="T70" s="2467"/>
      <c r="U70" s="2467"/>
      <c r="V70" s="2467"/>
      <c r="W70" s="757"/>
      <c r="X70" s="757"/>
    </row>
    <row r="71" spans="1:24" ht="29" x14ac:dyDescent="0.35">
      <c r="A71" s="758" t="str">
        <f>'Modèle Calcul A-R + Sommaire'!AY27</f>
        <v>Sujet personnel|intime partagé à l'enfant</v>
      </c>
      <c r="B71" s="759"/>
      <c r="C71" s="759"/>
      <c r="D71" s="759"/>
      <c r="E71" s="760" t="str">
        <f>'Modèle Calcul A-R + Sommaire'!BB27</f>
        <v/>
      </c>
      <c r="F71" s="761" t="str">
        <f>'Modèle Calcul A-R + Sommaire'!BA27</f>
        <v>🟥</v>
      </c>
      <c r="G71" s="762" t="str">
        <f>'Modèle Calcul A-R + Sommaire'!BC27</f>
        <v/>
      </c>
      <c r="H71" s="763"/>
      <c r="I71" s="763"/>
      <c r="J71" s="763"/>
      <c r="K71" s="763"/>
      <c r="L71" s="764" t="str">
        <f>'Modèle Calcul A-R + Sommaire'!BD27</f>
        <v>🔸</v>
      </c>
      <c r="M71" s="2467" t="str">
        <f>'Modèle Calcul A-R + Sommaire'!BF27</f>
        <v/>
      </c>
      <c r="N71" s="2467"/>
      <c r="O71" s="2467"/>
      <c r="P71" s="2467"/>
      <c r="Q71" s="2467"/>
      <c r="R71" s="761" t="str">
        <f>'Modèle Calcul A-R + Sommaire'!BG27</f>
        <v>🟢</v>
      </c>
      <c r="S71" s="2467" t="str">
        <f>'Modèle Calcul A-R + Sommaire'!BI27</f>
        <v/>
      </c>
      <c r="T71" s="2467"/>
      <c r="U71" s="2467"/>
      <c r="V71" s="2467"/>
      <c r="W71" s="757"/>
      <c r="X71" s="757"/>
    </row>
    <row r="72" spans="1:24" ht="29" x14ac:dyDescent="0.35">
      <c r="A72" s="758" t="str">
        <f>'Modèle Calcul A-R + Sommaire'!AY28</f>
        <v>Fait lire les communications à l'enfant</v>
      </c>
      <c r="B72" s="759"/>
      <c r="C72" s="759"/>
      <c r="D72" s="759"/>
      <c r="E72" s="760">
        <f>'Modèle Calcul A-R + Sommaire'!BB28</f>
        <v>32</v>
      </c>
      <c r="F72" s="761" t="str">
        <f>'Modèle Calcul A-R + Sommaire'!BA28</f>
        <v>🟥</v>
      </c>
      <c r="G72" s="762" t="str">
        <f>'Modèle Calcul A-R + Sommaire'!BC28</f>
        <v>est informé du contexte juridique ou autre sujet associé au conflit</v>
      </c>
      <c r="H72" s="763"/>
      <c r="I72" s="763"/>
      <c r="J72" s="763"/>
      <c r="K72" s="763"/>
      <c r="L72" s="764" t="str">
        <f>'Modèle Calcul A-R + Sommaire'!BD28</f>
        <v>🔸</v>
      </c>
      <c r="M72" s="2467" t="str">
        <f>'Modèle Calcul A-R + Sommaire'!BF28</f>
        <v/>
      </c>
      <c r="N72" s="2467"/>
      <c r="O72" s="2467"/>
      <c r="P72" s="2467"/>
      <c r="Q72" s="2467"/>
      <c r="R72" s="761" t="str">
        <f>'Modèle Calcul A-R + Sommaire'!BG28</f>
        <v>🟢</v>
      </c>
      <c r="S72" s="2467" t="str">
        <f>'Modèle Calcul A-R + Sommaire'!BI28</f>
        <v/>
      </c>
      <c r="T72" s="2467"/>
      <c r="U72" s="2467"/>
      <c r="V72" s="2467"/>
      <c r="W72" s="757"/>
      <c r="X72" s="757"/>
    </row>
    <row r="73" spans="1:24" ht="29" x14ac:dyDescent="0.35">
      <c r="A73" s="758" t="str">
        <f>'Modèle Calcul A-R + Sommaire'!AY29</f>
        <v>L'enfant est messager de la logistique</v>
      </c>
      <c r="B73" s="759"/>
      <c r="C73" s="759"/>
      <c r="D73" s="759"/>
      <c r="E73" s="760" t="str">
        <f>'Modèle Calcul A-R + Sommaire'!BB29</f>
        <v/>
      </c>
      <c r="F73" s="761" t="str">
        <f>'Modèle Calcul A-R + Sommaire'!BA29</f>
        <v>🟥</v>
      </c>
      <c r="G73" s="2467" t="str">
        <f>'Modèle Calcul A-R + Sommaire'!BC29</f>
        <v/>
      </c>
      <c r="H73" s="2467"/>
      <c r="I73" s="2467"/>
      <c r="J73" s="2467"/>
      <c r="K73" s="2467"/>
      <c r="L73" s="764" t="str">
        <f>'Modèle Calcul A-R + Sommaire'!BD29</f>
        <v>🔸</v>
      </c>
      <c r="M73" s="2471" t="str">
        <f>'Modèle Calcul A-R + Sommaire'!BF29</f>
        <v/>
      </c>
      <c r="N73" s="2471"/>
      <c r="O73" s="2471"/>
      <c r="P73" s="2471"/>
      <c r="Q73" s="2471"/>
      <c r="R73" s="761" t="str">
        <f>'Modèle Calcul A-R + Sommaire'!BG29</f>
        <v>🟢</v>
      </c>
      <c r="S73" s="2467" t="str">
        <f>'Modèle Calcul A-R + Sommaire'!BI29</f>
        <v>Bien que le parent Le nouveau conjoint.e vous dénigre l'enfant ne semble pas s'ingérer</v>
      </c>
      <c r="T73" s="2467"/>
      <c r="U73" s="2467"/>
      <c r="V73" s="2467"/>
      <c r="W73" s="757"/>
      <c r="X73" s="757"/>
    </row>
    <row r="74" spans="1:24" ht="29" x14ac:dyDescent="0.35">
      <c r="A74" s="758" t="str">
        <f>'Modèle Calcul A-R + Sommaire'!AY30</f>
        <v>Liberté du choix de l'enfant</v>
      </c>
      <c r="B74" s="759"/>
      <c r="C74" s="759"/>
      <c r="D74" s="759"/>
      <c r="E74" s="760" t="str">
        <f>'Modèle Calcul A-R + Sommaire'!BB30</f>
        <v/>
      </c>
      <c r="F74" s="761" t="str">
        <f>'Modèle Calcul A-R + Sommaire'!BA30</f>
        <v>🟥</v>
      </c>
      <c r="G74" s="762" t="str">
        <f>'Modèle Calcul A-R + Sommaire'!BC30</f>
        <v/>
      </c>
      <c r="H74" s="763"/>
      <c r="I74" s="763"/>
      <c r="J74" s="763"/>
      <c r="K74" s="763"/>
      <c r="L74" s="764" t="str">
        <f>'Modèle Calcul A-R + Sommaire'!BD30</f>
        <v>🔸</v>
      </c>
      <c r="M74" s="2467" t="str">
        <f>'Modèle Calcul A-R + Sommaire'!BF30</f>
        <v/>
      </c>
      <c r="N74" s="2467"/>
      <c r="O74" s="2467"/>
      <c r="P74" s="2467"/>
      <c r="Q74" s="2467"/>
      <c r="R74" s="761" t="str">
        <f>'Modèle Calcul A-R + Sommaire'!BG30</f>
        <v>🟢</v>
      </c>
      <c r="S74" s="2467" t="str">
        <f>'Modèle Calcul A-R + Sommaire'!BI30</f>
        <v/>
      </c>
      <c r="T74" s="2467"/>
      <c r="U74" s="2467"/>
      <c r="V74" s="2467"/>
      <c r="W74" s="757"/>
      <c r="X74" s="757"/>
    </row>
    <row r="75" spans="1:24" ht="29" x14ac:dyDescent="0.35">
      <c r="A75" s="758" t="str">
        <f>'Modèle Calcul A-R + Sommaire'!AY31</f>
        <v>Maturité de l'enfant de choisir</v>
      </c>
      <c r="B75" s="759"/>
      <c r="C75" s="759"/>
      <c r="D75" s="759"/>
      <c r="E75" s="760" t="str">
        <f>'Modèle Calcul A-R + Sommaire'!BB31</f>
        <v/>
      </c>
      <c r="F75" s="761" t="str">
        <f>'Modèle Calcul A-R + Sommaire'!BA31</f>
        <v>🟥</v>
      </c>
      <c r="G75" s="762" t="str">
        <f>'Modèle Calcul A-R + Sommaire'!BC31</f>
        <v/>
      </c>
      <c r="H75" s="763"/>
      <c r="I75" s="763"/>
      <c r="J75" s="763"/>
      <c r="K75" s="763"/>
      <c r="L75" s="764" t="str">
        <f>'Modèle Calcul A-R + Sommaire'!BD31</f>
        <v>🔸</v>
      </c>
      <c r="M75" s="2471" t="str">
        <f>'Modèle Calcul A-R + Sommaire'!BF31</f>
        <v/>
      </c>
      <c r="N75" s="2471"/>
      <c r="O75" s="2471"/>
      <c r="P75" s="2471"/>
      <c r="Q75" s="2471"/>
      <c r="R75" s="761" t="str">
        <f>'Modèle Calcul A-R + Sommaire'!BG31</f>
        <v>🟢</v>
      </c>
      <c r="S75" s="2467" t="str">
        <f>'Modèle Calcul A-R + Sommaire'!BI31</f>
        <v>Bien que le parent demande à l'enfant avec qui il veut vivre l'enfant ne semble pas s'ingérer</v>
      </c>
      <c r="T75" s="2467"/>
      <c r="U75" s="2467"/>
      <c r="V75" s="2467"/>
      <c r="W75" s="757"/>
      <c r="X75" s="757"/>
    </row>
    <row r="76" spans="1:24" ht="29" x14ac:dyDescent="0.35">
      <c r="A76" s="758" t="str">
        <f>'Modèle Calcul A-R + Sommaire'!AY32</f>
        <v>Respecter les désirs de l'enfant</v>
      </c>
      <c r="B76" s="759"/>
      <c r="C76" s="759"/>
      <c r="D76" s="759"/>
      <c r="E76" s="760" t="str">
        <f>'Modèle Calcul A-R + Sommaire'!BB32</f>
        <v/>
      </c>
      <c r="F76" s="761" t="str">
        <f>'Modèle Calcul A-R + Sommaire'!BA32</f>
        <v>🟥</v>
      </c>
      <c r="G76" s="762" t="str">
        <f>'Modèle Calcul A-R + Sommaire'!BC32</f>
        <v/>
      </c>
      <c r="H76" s="763"/>
      <c r="I76" s="763"/>
      <c r="J76" s="763"/>
      <c r="K76" s="763"/>
      <c r="L76" s="764" t="str">
        <f>'Modèle Calcul A-R + Sommaire'!BD32</f>
        <v>🔸</v>
      </c>
      <c r="M76" s="2467" t="str">
        <f>'Modèle Calcul A-R + Sommaire'!BF32</f>
        <v/>
      </c>
      <c r="N76" s="2467"/>
      <c r="O76" s="2467"/>
      <c r="P76" s="2467"/>
      <c r="Q76" s="2467"/>
      <c r="R76" s="761" t="str">
        <f>'Modèle Calcul A-R + Sommaire'!BG32</f>
        <v>🟢</v>
      </c>
      <c r="S76" s="2467" t="str">
        <f>'Modèle Calcul A-R + Sommaire'!BI32</f>
        <v>Bien que le parent Le nouveau conjoint.e vous demande de respecter les désirs et choix de l'enfant l'enfant ne semble pas s'ingérer</v>
      </c>
      <c r="T76" s="2467"/>
      <c r="U76" s="2467"/>
      <c r="V76" s="2467"/>
      <c r="W76" s="757"/>
      <c r="X76" s="757"/>
    </row>
    <row r="77" spans="1:24" ht="29" x14ac:dyDescent="0.35">
      <c r="A77" s="758" t="str">
        <f>'Modèle Calcul A-R + Sommaire'!AY33</f>
        <v>Demande / force l'enfant à choisir</v>
      </c>
      <c r="B77" s="759"/>
      <c r="C77" s="759"/>
      <c r="D77" s="759"/>
      <c r="E77" s="760" t="str">
        <f>'Modèle Calcul A-R + Sommaire'!BB33</f>
        <v/>
      </c>
      <c r="F77" s="761" t="str">
        <f>'Modèle Calcul A-R + Sommaire'!BA33</f>
        <v>🟥</v>
      </c>
      <c r="G77" s="762" t="str">
        <f>'Modèle Calcul A-R + Sommaire'!BC33</f>
        <v/>
      </c>
      <c r="H77" s="763"/>
      <c r="I77" s="763"/>
      <c r="J77" s="763"/>
      <c r="K77" s="763"/>
      <c r="L77" s="764" t="str">
        <f>'Modèle Calcul A-R + Sommaire'!BD33</f>
        <v>🔸</v>
      </c>
      <c r="M77" s="2467" t="str">
        <f>'Modèle Calcul A-R + Sommaire'!BF33</f>
        <v/>
      </c>
      <c r="N77" s="2467"/>
      <c r="O77" s="2467"/>
      <c r="P77" s="2467"/>
      <c r="Q77" s="2467"/>
      <c r="R77" s="761" t="str">
        <f>'Modèle Calcul A-R + Sommaire'!BG33</f>
        <v>🟢</v>
      </c>
      <c r="S77" s="2467" t="str">
        <f>'Modèle Calcul A-R + Sommaire'!BI33</f>
        <v>Bien que le parent force l'enfant à choisir l'enfant ne semble pas s'ingérer</v>
      </c>
      <c r="T77" s="2467"/>
      <c r="U77" s="2467"/>
      <c r="V77" s="2467"/>
      <c r="W77" s="757"/>
      <c r="X77" s="757"/>
    </row>
    <row r="78" spans="1:24" ht="29" x14ac:dyDescent="0.35">
      <c r="A78" s="758" t="str">
        <f>'Modèle Calcul A-R + Sommaire'!AY34</f>
        <v>Transport d'objets d'un domicile à l'autre</v>
      </c>
      <c r="B78" s="759"/>
      <c r="C78" s="759"/>
      <c r="D78" s="759"/>
      <c r="E78" s="760">
        <f>'Modèle Calcul A-R + Sommaire'!BB34</f>
        <v>26</v>
      </c>
      <c r="F78" s="761" t="str">
        <f>'Modèle Calcul A-R + Sommaire'!BA34</f>
        <v>🟥</v>
      </c>
      <c r="G78" s="762" t="str">
        <f>'Modèle Calcul A-R + Sommaire'!BC34</f>
        <v>ne peut transporter ses objets d'une demeure à l'autre</v>
      </c>
      <c r="H78" s="763"/>
      <c r="I78" s="763"/>
      <c r="J78" s="763"/>
      <c r="K78" s="763"/>
      <c r="L78" s="764" t="str">
        <f>'Modèle Calcul A-R + Sommaire'!BD34</f>
        <v>🔸</v>
      </c>
      <c r="M78" s="2467" t="str">
        <f>'Modèle Calcul A-R + Sommaire'!BF34</f>
        <v/>
      </c>
      <c r="N78" s="2467"/>
      <c r="O78" s="2467"/>
      <c r="P78" s="2467"/>
      <c r="Q78" s="2467"/>
      <c r="R78" s="761" t="str">
        <f>'Modèle Calcul A-R + Sommaire'!BG34</f>
        <v>🟢</v>
      </c>
      <c r="S78" s="2467" t="str">
        <f>'Modèle Calcul A-R + Sommaire'!BI34</f>
        <v/>
      </c>
      <c r="T78" s="2467"/>
      <c r="U78" s="2467"/>
      <c r="V78" s="2467"/>
      <c r="W78" s="757"/>
      <c r="X78" s="757"/>
    </row>
    <row r="79" spans="1:24" ht="29" x14ac:dyDescent="0.35">
      <c r="A79" s="80"/>
      <c r="B79" s="432"/>
      <c r="C79" s="432"/>
      <c r="D79" s="432"/>
      <c r="F79" s="757"/>
      <c r="G79" s="757"/>
      <c r="H79" s="757"/>
      <c r="I79" s="757"/>
      <c r="J79" s="757"/>
      <c r="K79" s="757"/>
      <c r="L79" s="757"/>
      <c r="M79" s="757"/>
      <c r="N79" s="757"/>
      <c r="O79" s="757"/>
      <c r="P79" s="757"/>
      <c r="Q79" s="757"/>
      <c r="R79" s="757"/>
      <c r="S79" s="757"/>
      <c r="T79" s="757"/>
      <c r="U79" s="757"/>
      <c r="V79" s="757"/>
      <c r="W79" s="757"/>
      <c r="X79" s="757"/>
    </row>
    <row r="80" spans="1:24" ht="29" x14ac:dyDescent="0.35">
      <c r="A80" s="432"/>
      <c r="B80" s="432"/>
      <c r="C80" s="432"/>
      <c r="D80" s="432"/>
      <c r="R80" s="431" t="s">
        <v>364</v>
      </c>
    </row>
    <row r="81" spans="1:22" ht="29" x14ac:dyDescent="0.35">
      <c r="A81" s="432"/>
      <c r="B81" s="432"/>
      <c r="C81" s="432"/>
      <c r="D81" s="432"/>
      <c r="R81" t="str">
        <f>'Modèle Calcul A-R + Sommaire'!BC10</f>
        <v/>
      </c>
      <c r="V81" s="55" t="str">
        <f>'Modèle Calcul A-R + Sommaire'!BB10</f>
        <v/>
      </c>
    </row>
    <row r="82" spans="1:22" ht="29" x14ac:dyDescent="0.35">
      <c r="A82" s="432"/>
      <c r="B82" s="432"/>
      <c r="C82" s="432"/>
      <c r="D82" s="432"/>
      <c r="R82" s="1269" t="str">
        <f>'Modèle Calcul A-R + Sommaire'!BC11</f>
        <v/>
      </c>
      <c r="V82" s="55" t="str">
        <f>'Modèle Calcul A-R + Sommaire'!BB11</f>
        <v/>
      </c>
    </row>
    <row r="83" spans="1:22" ht="29" x14ac:dyDescent="0.35">
      <c r="A83" s="432"/>
      <c r="B83" s="432"/>
      <c r="C83" s="432"/>
      <c r="D83" s="432"/>
      <c r="R83" s="1269" t="str">
        <f>'Modèle Calcul A-R + Sommaire'!BC12</f>
        <v/>
      </c>
      <c r="V83" s="55" t="str">
        <f>'Modèle Calcul A-R + Sommaire'!BB12</f>
        <v/>
      </c>
    </row>
    <row r="84" spans="1:22" ht="29" x14ac:dyDescent="0.35">
      <c r="A84" s="432"/>
      <c r="B84" s="432"/>
      <c r="C84" s="432"/>
      <c r="D84" s="432"/>
      <c r="R84" s="1269" t="str">
        <f>'Modèle Calcul A-R + Sommaire'!BC13</f>
        <v/>
      </c>
      <c r="V84" s="55" t="str">
        <f>'Modèle Calcul A-R + Sommaire'!BB13</f>
        <v/>
      </c>
    </row>
    <row r="85" spans="1:22" ht="29" x14ac:dyDescent="0.35">
      <c r="A85" s="432"/>
      <c r="B85" s="432"/>
      <c r="C85" s="432"/>
      <c r="D85" s="432"/>
      <c r="R85" s="1269" t="str">
        <f>'Modèle Calcul A-R + Sommaire'!BC14</f>
        <v>déforme les souvenirs</v>
      </c>
      <c r="V85" s="55">
        <f>'Modèle Calcul A-R + Sommaire'!BB14</f>
        <v>27</v>
      </c>
    </row>
    <row r="86" spans="1:22" ht="29" x14ac:dyDescent="0.35">
      <c r="A86" s="432"/>
      <c r="B86" s="432"/>
      <c r="C86" s="432"/>
      <c r="D86" s="432"/>
      <c r="R86" s="1269" t="str">
        <f>'Modèle Calcul A-R + Sommaire'!BC15</f>
        <v/>
      </c>
      <c r="V86" s="55" t="str">
        <f>'Modèle Calcul A-R + Sommaire'!BB15</f>
        <v/>
      </c>
    </row>
    <row r="87" spans="1:22" ht="29" x14ac:dyDescent="0.35">
      <c r="A87" s="432"/>
      <c r="B87" s="432"/>
      <c r="C87" s="432"/>
      <c r="D87" s="432"/>
      <c r="R87" s="1269" t="str">
        <f>'Modèle Calcul A-R + Sommaire'!BC16</f>
        <v/>
      </c>
      <c r="V87" s="55" t="str">
        <f>'Modèle Calcul A-R + Sommaire'!BB16</f>
        <v/>
      </c>
    </row>
    <row r="88" spans="1:22" ht="29" x14ac:dyDescent="0.35">
      <c r="A88" s="432"/>
      <c r="B88" s="432"/>
      <c r="C88" s="432"/>
      <c r="D88" s="432"/>
      <c r="R88" s="1269" t="str">
        <f>'Modèle Calcul A-R + Sommaire'!BC17</f>
        <v>change d'attitude lorsqu'il est en présence des deux parents</v>
      </c>
      <c r="V88" s="55">
        <f>'Modèle Calcul A-R + Sommaire'!BB17</f>
        <v>21</v>
      </c>
    </row>
    <row r="89" spans="1:22" ht="29" x14ac:dyDescent="0.35">
      <c r="A89" s="432"/>
      <c r="B89" s="432"/>
      <c r="C89" s="432"/>
      <c r="D89" s="432"/>
      <c r="R89" s="1269" t="str">
        <f>'Modèle Calcul A-R + Sommaire'!BC20</f>
        <v/>
      </c>
      <c r="V89" s="55" t="str">
        <f>'Modèle Calcul A-R + Sommaire'!BB20</f>
        <v/>
      </c>
    </row>
    <row r="90" spans="1:22" ht="29" x14ac:dyDescent="0.35">
      <c r="A90" s="432"/>
      <c r="B90" s="432"/>
      <c r="C90" s="432"/>
      <c r="D90" s="432"/>
      <c r="R90" s="1269" t="str">
        <f>'Modèle Calcul A-R + Sommaire'!BC24</f>
        <v/>
      </c>
      <c r="V90" s="55" t="str">
        <f>'Modèle Calcul A-R + Sommaire'!BB24</f>
        <v/>
      </c>
    </row>
    <row r="91" spans="1:22" ht="29" x14ac:dyDescent="0.35">
      <c r="A91" s="432"/>
      <c r="B91" s="432"/>
      <c r="C91" s="432"/>
      <c r="D91" s="432"/>
      <c r="R91" s="1269" t="str">
        <f>'Modèle Calcul A-R + Sommaire'!BC28</f>
        <v>est informé du contexte juridique ou autre sujet associé au conflit</v>
      </c>
      <c r="V91" s="55">
        <f>'Modèle Calcul A-R + Sommaire'!BB28</f>
        <v>32</v>
      </c>
    </row>
    <row r="92" spans="1:22" ht="29" x14ac:dyDescent="0.35">
      <c r="A92" s="432"/>
      <c r="B92" s="432"/>
      <c r="C92" s="432"/>
      <c r="D92" s="432"/>
      <c r="R92" s="1269" t="str">
        <f>'Modèle Calcul A-R + Sommaire'!BC29</f>
        <v/>
      </c>
      <c r="V92" s="55" t="str">
        <f>'Modèle Calcul A-R + Sommaire'!BB29</f>
        <v/>
      </c>
    </row>
    <row r="93" spans="1:22" ht="29" x14ac:dyDescent="0.35">
      <c r="A93" s="432"/>
      <c r="B93" s="432"/>
      <c r="C93" s="432"/>
      <c r="D93" s="432"/>
      <c r="R93" s="1269" t="str">
        <f>'Modèle Calcul A-R + Sommaire'!BC31</f>
        <v/>
      </c>
      <c r="V93" s="55" t="str">
        <f>'Modèle Calcul A-R + Sommaire'!BB31</f>
        <v/>
      </c>
    </row>
    <row r="94" spans="1:22" ht="29" x14ac:dyDescent="0.35">
      <c r="A94" s="432"/>
      <c r="B94" s="432"/>
      <c r="C94" s="432"/>
      <c r="D94" s="432"/>
      <c r="R94" s="1269" t="str">
        <f>'Modèle Calcul A-R + Sommaire'!BC32</f>
        <v/>
      </c>
      <c r="V94" s="55" t="str">
        <f>'Modèle Calcul A-R + Sommaire'!BB32</f>
        <v/>
      </c>
    </row>
    <row r="95" spans="1:22" ht="29" x14ac:dyDescent="0.35">
      <c r="A95" s="432"/>
      <c r="B95" s="432"/>
      <c r="C95" s="432"/>
      <c r="D95" s="432"/>
      <c r="R95" s="1269" t="str">
        <f>'Modèle Calcul A-R + Sommaire'!BC33</f>
        <v/>
      </c>
      <c r="U95" t="s">
        <v>498</v>
      </c>
      <c r="V95" s="55" t="str">
        <f>'Modèle Calcul A-R + Sommaire'!BB33</f>
        <v/>
      </c>
    </row>
    <row r="96" spans="1:22" ht="29" x14ac:dyDescent="0.35">
      <c r="A96" s="432"/>
      <c r="B96" s="432"/>
      <c r="C96" s="432"/>
      <c r="D96" s="432"/>
    </row>
    <row r="97" spans="1:20" ht="29" x14ac:dyDescent="0.35">
      <c r="A97" s="432"/>
      <c r="B97" s="432"/>
      <c r="C97" s="432"/>
      <c r="D97" s="432"/>
    </row>
    <row r="98" spans="1:20" ht="29" x14ac:dyDescent="0.35">
      <c r="A98" s="432"/>
      <c r="B98" s="432"/>
      <c r="C98" s="432"/>
      <c r="D98" s="432"/>
    </row>
    <row r="99" spans="1:20" ht="30" customHeight="1" x14ac:dyDescent="0.35">
      <c r="A99" s="432"/>
      <c r="B99" s="432"/>
      <c r="C99" s="432"/>
      <c r="D99" s="432"/>
    </row>
    <row r="100" spans="1:20" ht="29" x14ac:dyDescent="0.35">
      <c r="A100" s="34" t="s">
        <v>680</v>
      </c>
      <c r="B100" s="432"/>
      <c r="C100" s="432"/>
      <c r="D100" s="432"/>
    </row>
    <row r="101" spans="1:20" ht="29" x14ac:dyDescent="0.35">
      <c r="A101" s="432"/>
      <c r="B101" s="432"/>
      <c r="C101" s="432"/>
      <c r="D101" s="432"/>
    </row>
    <row r="102" spans="1:20" ht="44" customHeight="1" x14ac:dyDescent="0.35">
      <c r="A102" s="432"/>
      <c r="B102" s="432"/>
      <c r="C102" s="432"/>
      <c r="D102" s="432"/>
      <c r="Q102" s="767" t="s">
        <v>685</v>
      </c>
    </row>
    <row r="103" spans="1:20" ht="44" customHeight="1" x14ac:dyDescent="0.35">
      <c r="A103" s="432"/>
      <c r="B103" s="432"/>
      <c r="C103" s="432"/>
      <c r="D103" s="432"/>
      <c r="Q103" t="e">
        <f>#REF!</f>
        <v>#REF!</v>
      </c>
      <c r="T103" s="755" t="e">
        <f>#REF!</f>
        <v>#REF!</v>
      </c>
    </row>
    <row r="104" spans="1:20" ht="44" customHeight="1" x14ac:dyDescent="0.35">
      <c r="A104" s="432"/>
      <c r="B104" s="432"/>
      <c r="C104" s="432"/>
      <c r="D104" s="432"/>
      <c r="Q104" t="e">
        <f>#REF!</f>
        <v>#REF!</v>
      </c>
      <c r="T104" s="755" t="e">
        <f>#REF!</f>
        <v>#REF!</v>
      </c>
    </row>
    <row r="105" spans="1:20" ht="44" customHeight="1" x14ac:dyDescent="0.35">
      <c r="A105" s="432"/>
      <c r="B105" s="432"/>
      <c r="C105" s="432"/>
      <c r="D105" s="432"/>
      <c r="Q105" t="e">
        <f>#REF!</f>
        <v>#REF!</v>
      </c>
      <c r="T105" s="755" t="e">
        <f>#REF!</f>
        <v>#REF!</v>
      </c>
    </row>
    <row r="106" spans="1:20" ht="44" customHeight="1" x14ac:dyDescent="0.35">
      <c r="A106" s="432"/>
      <c r="B106" s="432"/>
      <c r="C106" s="432"/>
      <c r="D106" s="432"/>
      <c r="Q106" t="e">
        <f>#REF!</f>
        <v>#REF!</v>
      </c>
      <c r="T106" s="755" t="e">
        <f>#REF!</f>
        <v>#REF!</v>
      </c>
    </row>
    <row r="107" spans="1:20" ht="44" customHeight="1" x14ac:dyDescent="0.35">
      <c r="A107" s="432"/>
      <c r="B107" s="432"/>
      <c r="C107" s="432"/>
      <c r="D107" s="432"/>
      <c r="Q107" t="e">
        <f>#REF!</f>
        <v>#REF!</v>
      </c>
      <c r="T107" s="755" t="e">
        <f>#REF!</f>
        <v>#REF!</v>
      </c>
    </row>
    <row r="108" spans="1:20" ht="44" customHeight="1" x14ac:dyDescent="0.35">
      <c r="A108" s="432"/>
      <c r="B108" s="432"/>
      <c r="C108" s="432"/>
      <c r="D108" s="432"/>
      <c r="Q108" t="e">
        <f>#REF!</f>
        <v>#REF!</v>
      </c>
      <c r="T108" s="755" t="e">
        <f>#REF!</f>
        <v>#REF!</v>
      </c>
    </row>
    <row r="109" spans="1:20" ht="44" customHeight="1" x14ac:dyDescent="0.35">
      <c r="A109" s="432"/>
      <c r="B109" s="432"/>
      <c r="C109" s="432"/>
      <c r="D109" s="432"/>
      <c r="Q109" t="e">
        <f>#REF!</f>
        <v>#REF!</v>
      </c>
      <c r="T109" s="755" t="e">
        <f>#REF!</f>
        <v>#REF!</v>
      </c>
    </row>
    <row r="110" spans="1:20" ht="44" customHeight="1" x14ac:dyDescent="0.35">
      <c r="A110" s="432"/>
      <c r="B110" s="432"/>
      <c r="C110" s="432"/>
      <c r="D110" s="432"/>
      <c r="Q110" t="e">
        <f>#REF!</f>
        <v>#REF!</v>
      </c>
      <c r="T110" s="755" t="e">
        <f>#REF!</f>
        <v>#REF!</v>
      </c>
    </row>
    <row r="111" spans="1:20" ht="44" customHeight="1" x14ac:dyDescent="0.35">
      <c r="A111" s="432"/>
      <c r="B111" s="432"/>
      <c r="C111" s="432"/>
      <c r="D111" s="432"/>
      <c r="Q111" t="e">
        <f>#REF!</f>
        <v>#REF!</v>
      </c>
      <c r="T111" s="755" t="e">
        <f>#REF!</f>
        <v>#REF!</v>
      </c>
    </row>
    <row r="112" spans="1:20" ht="44" customHeight="1" x14ac:dyDescent="0.35">
      <c r="A112" s="432"/>
      <c r="B112" s="432"/>
      <c r="C112" s="432"/>
      <c r="D112" s="432"/>
      <c r="Q112" t="e">
        <f>#REF!</f>
        <v>#REF!</v>
      </c>
      <c r="T112" s="755" t="e">
        <f>#REF!</f>
        <v>#REF!</v>
      </c>
    </row>
    <row r="113" spans="1:20" ht="44" customHeight="1" x14ac:dyDescent="0.35">
      <c r="A113" s="432"/>
      <c r="B113" s="432"/>
      <c r="C113" s="432"/>
      <c r="D113" s="432"/>
      <c r="Q113" t="e">
        <f>#REF!</f>
        <v>#REF!</v>
      </c>
      <c r="T113" s="755" t="e">
        <f>#REF!</f>
        <v>#REF!</v>
      </c>
    </row>
    <row r="114" spans="1:20" ht="44" customHeight="1" x14ac:dyDescent="0.35">
      <c r="A114" s="432"/>
      <c r="B114" s="432"/>
      <c r="C114" s="432"/>
      <c r="D114" s="432"/>
      <c r="Q114" t="e">
        <f>#REF!</f>
        <v>#REF!</v>
      </c>
      <c r="T114" s="755" t="e">
        <f>#REF!</f>
        <v>#REF!</v>
      </c>
    </row>
    <row r="115" spans="1:20" ht="44" customHeight="1" x14ac:dyDescent="0.35">
      <c r="A115" s="432"/>
      <c r="B115" s="432"/>
      <c r="C115" s="432"/>
      <c r="D115" s="432"/>
      <c r="Q115" t="e">
        <f>#REF!</f>
        <v>#REF!</v>
      </c>
      <c r="T115" s="755" t="e">
        <f>#REF!</f>
        <v>#REF!</v>
      </c>
    </row>
    <row r="116" spans="1:20" ht="44" customHeight="1" x14ac:dyDescent="0.35">
      <c r="A116" s="432"/>
      <c r="B116" s="432"/>
      <c r="C116" s="432"/>
      <c r="D116" s="432"/>
      <c r="Q116" t="e">
        <f>#REF!</f>
        <v>#REF!</v>
      </c>
      <c r="T116" s="755" t="e">
        <f>#REF!</f>
        <v>#REF!</v>
      </c>
    </row>
    <row r="117" spans="1:20" ht="44" customHeight="1" x14ac:dyDescent="0.35">
      <c r="A117" s="432"/>
      <c r="B117" s="432"/>
      <c r="C117" s="432"/>
      <c r="D117" s="432"/>
    </row>
    <row r="118" spans="1:20" ht="29" x14ac:dyDescent="0.35">
      <c r="A118" s="432"/>
      <c r="B118" s="432"/>
      <c r="C118" s="432"/>
      <c r="D118" s="432"/>
    </row>
    <row r="119" spans="1:20" ht="29" x14ac:dyDescent="0.35">
      <c r="A119" s="432"/>
      <c r="C119" s="432"/>
      <c r="D119" s="432"/>
    </row>
    <row r="120" spans="1:20" ht="29" x14ac:dyDescent="0.35">
      <c r="A120" s="432"/>
      <c r="B120" s="432"/>
      <c r="C120" s="432"/>
      <c r="D120" s="432"/>
    </row>
    <row r="121" spans="1:20" x14ac:dyDescent="0.2">
      <c r="J121" s="11"/>
      <c r="K121" s="82"/>
    </row>
    <row r="122" spans="1:20" x14ac:dyDescent="0.2">
      <c r="H122" s="66"/>
      <c r="K122" s="66"/>
      <c r="L122" s="11"/>
    </row>
    <row r="125" spans="1:20" x14ac:dyDescent="0.2">
      <c r="G125" s="55"/>
    </row>
    <row r="126" spans="1:20" x14ac:dyDescent="0.2">
      <c r="E126" s="13"/>
      <c r="F126" s="13"/>
      <c r="G126" s="13"/>
      <c r="H126" s="13"/>
      <c r="I126" s="13"/>
    </row>
    <row r="127" spans="1:20" x14ac:dyDescent="0.2">
      <c r="E127" s="13"/>
      <c r="F127" s="13"/>
      <c r="G127" s="13"/>
      <c r="H127" s="13"/>
      <c r="I127" s="13"/>
    </row>
    <row r="128" spans="1:20" x14ac:dyDescent="0.2">
      <c r="E128" s="25"/>
      <c r="F128" s="25"/>
      <c r="G128" s="25"/>
      <c r="H128" s="25"/>
      <c r="I128" s="25"/>
    </row>
    <row r="129" spans="5:9" x14ac:dyDescent="0.2">
      <c r="E129" s="25"/>
      <c r="F129" s="25"/>
      <c r="G129" s="25"/>
      <c r="H129" s="25"/>
      <c r="I129" s="25"/>
    </row>
    <row r="130" spans="5:9" x14ac:dyDescent="0.2">
      <c r="E130" s="25"/>
      <c r="F130" s="25"/>
      <c r="G130" s="25"/>
      <c r="H130" s="25"/>
      <c r="I130" s="25"/>
    </row>
  </sheetData>
  <mergeCells count="57">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 ref="M62:Q62"/>
    <mergeCell ref="M61:Q61"/>
    <mergeCell ref="M60:Q60"/>
    <mergeCell ref="M73:Q73"/>
    <mergeCell ref="M72:Q72"/>
    <mergeCell ref="M71:Q71"/>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S69:V69"/>
    <mergeCell ref="S68:V68"/>
    <mergeCell ref="S67:V67"/>
    <mergeCell ref="S66:V66"/>
    <mergeCell ref="S65:V65"/>
    <mergeCell ref="S64:V64"/>
    <mergeCell ref="S63:V63"/>
    <mergeCell ref="S62:V62"/>
    <mergeCell ref="S61:V61"/>
    <mergeCell ref="S60:V60"/>
    <mergeCell ref="S73:V73"/>
    <mergeCell ref="S72:V72"/>
    <mergeCell ref="S71:V71"/>
    <mergeCell ref="S70:V70"/>
    <mergeCell ref="S78:V78"/>
    <mergeCell ref="S77:V77"/>
    <mergeCell ref="S76:V76"/>
    <mergeCell ref="S75:V75"/>
    <mergeCell ref="S74:V74"/>
  </mergeCells>
  <conditionalFormatting sqref="T103:T116">
    <cfRule type="cellIs" dxfId="5" priority="1" operator="equal">
      <formula>"Adéquat"</formula>
    </cfRule>
    <cfRule type="containsText" dxfId="4" priority="2" operator="containsText" text="à surveiller">
      <formula>NOT(ISERROR(SEARCH("à surveiller",T103)))</formula>
    </cfRule>
    <cfRule type="containsText" dxfId="3" priority="3" operator="containsText" text="Conseils prioritaires">
      <formula>NOT(ISERROR(SEARCH("Conseils prioritaires",T103)))</formula>
    </cfRule>
    <cfRule type="iconSet" priority="4">
      <iconSet>
        <cfvo type="percent" val="0"/>
        <cfvo type="percent" val="33"/>
        <cfvo type="percent" val="67"/>
      </iconSet>
    </cfRule>
  </conditionalFormatting>
  <pageMargins left="0.7" right="0.7" top="0.75" bottom="0.75" header="0.3" footer="0.3"/>
  <pageSetup orientation="portrait" horizontalDpi="0" verticalDpi="0" copies="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986D4-E604-C340-A08A-56101BCF153C}">
  <dimension ref="A1:W244"/>
  <sheetViews>
    <sheetView zoomScale="90" zoomScaleNormal="90" workbookViewId="0">
      <pane xSplit="1" ySplit="7" topLeftCell="B91" activePane="bottomRight" state="frozen"/>
      <selection pane="topRight" activeCell="B1" sqref="B1"/>
      <selection pane="bottomLeft" activeCell="A8" sqref="A8"/>
      <selection pane="bottomRight" activeCell="E106" sqref="E106"/>
    </sheetView>
  </sheetViews>
  <sheetFormatPr baseColWidth="10" defaultRowHeight="16" x14ac:dyDescent="0.2"/>
  <cols>
    <col min="1" max="1" width="8.33203125" customWidth="1"/>
    <col min="2" max="2" width="78.33203125" style="13" bestFit="1" customWidth="1"/>
    <col min="3" max="3" width="36.5" style="1827" bestFit="1" customWidth="1"/>
    <col min="4" max="4" width="21.1640625" style="591" bestFit="1" customWidth="1"/>
    <col min="5" max="5" width="12.33203125" style="591" bestFit="1" customWidth="1"/>
    <col min="6" max="6" width="18.1640625" style="1824" bestFit="1" customWidth="1"/>
    <col min="7" max="7" width="15.5" style="832" bestFit="1" customWidth="1"/>
    <col min="8" max="8" width="14.5" style="1286" bestFit="1" customWidth="1"/>
    <col min="9" max="9" width="22.1640625" style="1832" bestFit="1" customWidth="1"/>
    <col min="10" max="10" width="5.83203125" style="1840" bestFit="1" customWidth="1"/>
    <col min="11" max="11" width="15.33203125" style="1835" bestFit="1" customWidth="1"/>
    <col min="12" max="12" width="18.6640625" style="1460" bestFit="1" customWidth="1"/>
    <col min="13" max="13" width="23.5" style="706" bestFit="1" customWidth="1"/>
    <col min="14" max="14" width="30.5" style="13" bestFit="1" customWidth="1"/>
    <col min="15" max="15" width="9.83203125" bestFit="1" customWidth="1"/>
    <col min="18" max="18" width="30.6640625" bestFit="1" customWidth="1"/>
    <col min="19" max="19" width="8.33203125" bestFit="1" customWidth="1"/>
    <col min="20" max="20" width="8.5" bestFit="1" customWidth="1"/>
    <col min="21" max="21" width="21.5" bestFit="1" customWidth="1"/>
    <col min="22" max="22" width="15" bestFit="1" customWidth="1"/>
    <col min="23" max="23" width="121.83203125" style="13" customWidth="1"/>
  </cols>
  <sheetData>
    <row r="1" spans="1:23" ht="21" x14ac:dyDescent="0.25">
      <c r="B1" s="1816"/>
    </row>
    <row r="2" spans="1:23" x14ac:dyDescent="0.2">
      <c r="D2" s="1265"/>
      <c r="E2" s="1265"/>
      <c r="F2" s="1825"/>
      <c r="G2" s="1814"/>
      <c r="H2" s="1822"/>
      <c r="I2" s="1833"/>
    </row>
    <row r="3" spans="1:23" x14ac:dyDescent="0.2">
      <c r="C3" s="1827" t="s">
        <v>1720</v>
      </c>
      <c r="D3" s="1265"/>
      <c r="E3" s="1265"/>
      <c r="F3" s="1825"/>
      <c r="G3" s="1814"/>
      <c r="H3" s="1822"/>
      <c r="I3" s="1833"/>
    </row>
    <row r="5" spans="1:23" x14ac:dyDescent="0.2">
      <c r="A5" t="s">
        <v>1750</v>
      </c>
      <c r="C5" s="1827">
        <f>SUM(C8:C244)</f>
        <v>16</v>
      </c>
      <c r="D5" s="591">
        <f>SUM(D8:D244)</f>
        <v>12</v>
      </c>
      <c r="E5" s="591">
        <f>SUM(E8:E244)</f>
        <v>18</v>
      </c>
      <c r="F5" s="1824">
        <f>SUM(F8:F244)</f>
        <v>17</v>
      </c>
      <c r="G5" s="832">
        <f t="shared" ref="G5:L5" si="0">SUM(G8:G244)</f>
        <v>19</v>
      </c>
      <c r="H5" s="1286">
        <f t="shared" si="0"/>
        <v>104</v>
      </c>
      <c r="I5" s="1832">
        <f t="shared" si="0"/>
        <v>8</v>
      </c>
      <c r="J5" s="1840">
        <f t="shared" si="0"/>
        <v>12</v>
      </c>
      <c r="K5" s="1741">
        <f t="shared" si="0"/>
        <v>2</v>
      </c>
      <c r="L5" s="1461">
        <f t="shared" si="0"/>
        <v>2</v>
      </c>
    </row>
    <row r="6" spans="1:23" ht="17" thickBot="1" x14ac:dyDescent="0.25">
      <c r="D6" s="591" t="s">
        <v>1748</v>
      </c>
      <c r="R6" t="s">
        <v>1742</v>
      </c>
    </row>
    <row r="7" spans="1:23" ht="34" x14ac:dyDescent="0.2">
      <c r="B7" s="1817" t="s">
        <v>748</v>
      </c>
      <c r="C7" s="1828" t="s">
        <v>1747</v>
      </c>
      <c r="D7" s="1323" t="s">
        <v>1718</v>
      </c>
      <c r="E7" s="1323" t="s">
        <v>1721</v>
      </c>
      <c r="F7" s="1826" t="s">
        <v>1749</v>
      </c>
      <c r="G7" s="72" t="s">
        <v>1704</v>
      </c>
      <c r="H7" s="1823" t="s">
        <v>1009</v>
      </c>
      <c r="I7" s="29" t="s">
        <v>1753</v>
      </c>
      <c r="J7" s="1841" t="s">
        <v>602</v>
      </c>
      <c r="K7" s="1836" t="s">
        <v>1751</v>
      </c>
      <c r="L7" s="1838" t="s">
        <v>1752</v>
      </c>
      <c r="M7" s="706" t="s">
        <v>1761</v>
      </c>
      <c r="N7" s="13" t="s">
        <v>1762</v>
      </c>
      <c r="O7" s="1834" t="s">
        <v>306</v>
      </c>
      <c r="R7" t="s">
        <v>1741</v>
      </c>
      <c r="S7" t="s">
        <v>1774</v>
      </c>
      <c r="T7" t="s">
        <v>1743</v>
      </c>
      <c r="U7" t="s">
        <v>1744</v>
      </c>
      <c r="V7" t="s">
        <v>1745</v>
      </c>
      <c r="W7" s="13" t="s">
        <v>1799</v>
      </c>
    </row>
    <row r="8" spans="1:23" x14ac:dyDescent="0.2">
      <c r="B8" s="1817"/>
      <c r="C8" s="1601"/>
      <c r="D8" s="90"/>
      <c r="E8" s="1601"/>
      <c r="F8" s="1601"/>
      <c r="G8" s="1601"/>
      <c r="H8" s="1601"/>
      <c r="I8" s="1601"/>
      <c r="J8" s="90"/>
      <c r="K8" s="55"/>
      <c r="L8" s="55"/>
      <c r="M8" s="1601"/>
      <c r="N8" s="1866"/>
      <c r="O8" s="1867"/>
      <c r="R8" t="s">
        <v>1746</v>
      </c>
    </row>
    <row r="9" spans="1:23" s="7" customFormat="1" ht="17" x14ac:dyDescent="0.2">
      <c r="A9" s="25" t="str">
        <f>BIBLE!E20</f>
        <v>B00</v>
      </c>
      <c r="B9" s="25" t="str">
        <f>BIBLE!F20</f>
        <v xml:space="preserve">Identification: Qui êtes-vous ? </v>
      </c>
      <c r="C9" s="1846"/>
      <c r="D9" s="1847"/>
      <c r="E9" s="1847"/>
      <c r="F9" s="1848"/>
      <c r="G9" s="768"/>
      <c r="H9" s="769"/>
      <c r="I9" s="709"/>
      <c r="J9" s="1842"/>
      <c r="K9" s="1837"/>
      <c r="L9" s="1839"/>
      <c r="M9" s="67"/>
      <c r="N9" s="590"/>
      <c r="O9" s="1844">
        <f>C9+D9+E9+F9+G9+H9+I9+J9+K9+L9</f>
        <v>0</v>
      </c>
      <c r="W9" s="25" t="s">
        <v>1775</v>
      </c>
    </row>
    <row r="10" spans="1:23" s="7" customFormat="1" ht="51" x14ac:dyDescent="0.2">
      <c r="A10" s="25" t="str">
        <f>BIBLE!E21</f>
        <v>B01</v>
      </c>
      <c r="B10" s="25" t="str">
        <f>BIBLE!F21</f>
        <v>Vous répondez à ce questionnaire au nom de ?</v>
      </c>
      <c r="C10" s="1713"/>
      <c r="D10" s="1829"/>
      <c r="E10" s="1829"/>
      <c r="F10" s="1830"/>
      <c r="G10" s="1831"/>
      <c r="H10" s="1392"/>
      <c r="I10" s="27"/>
      <c r="J10" s="1842"/>
      <c r="K10" s="1837"/>
      <c r="L10" s="1839"/>
      <c r="M10" s="67"/>
      <c r="N10" s="590"/>
      <c r="O10" s="1844">
        <f t="shared" ref="O10:O78" si="1">C10+D10+E10+F10+G10+H10+I10+J10+K10+L10</f>
        <v>0</v>
      </c>
      <c r="W10" s="25" t="s">
        <v>1776</v>
      </c>
    </row>
    <row r="11" spans="1:23" s="7" customFormat="1" ht="68" x14ac:dyDescent="0.2">
      <c r="A11" s="25" t="str">
        <f>BIBLE!E22</f>
        <v>B02</v>
      </c>
      <c r="B11" s="25" t="str">
        <f>BIBLE!F22</f>
        <v>Souhaitez-vous faire une analyse au présent ou de manière rétrospective ?</v>
      </c>
      <c r="C11" s="1713"/>
      <c r="D11" s="1829"/>
      <c r="E11" s="1829"/>
      <c r="F11" s="1830"/>
      <c r="G11" s="1831"/>
      <c r="H11" s="1392"/>
      <c r="I11" s="27"/>
      <c r="J11" s="1842"/>
      <c r="K11" s="1837"/>
      <c r="L11" s="1839"/>
      <c r="M11" s="67"/>
      <c r="N11" s="590"/>
      <c r="O11" s="1844">
        <f t="shared" si="1"/>
        <v>0</v>
      </c>
      <c r="W11" s="25" t="s">
        <v>1777</v>
      </c>
    </row>
    <row r="12" spans="1:23" s="7" customFormat="1" ht="34" x14ac:dyDescent="0.2">
      <c r="A12" s="25" t="str">
        <f>BIBLE!E23</f>
        <v>B03</v>
      </c>
      <c r="B12" s="545" t="str">
        <f>BIBLE!F23</f>
        <v xml:space="preserve">Quelle a été la durée de vie commune avec l'autre parent (coparent) ?
</v>
      </c>
      <c r="C12" s="1713"/>
      <c r="D12" s="1847"/>
      <c r="E12" s="1847"/>
      <c r="F12" s="1848"/>
      <c r="G12" s="1831"/>
      <c r="H12" s="1392"/>
      <c r="I12" s="27"/>
      <c r="J12" s="1842"/>
      <c r="K12" s="1837"/>
      <c r="L12" s="1839"/>
      <c r="M12" s="67"/>
      <c r="N12" s="590"/>
      <c r="O12" s="1844">
        <f t="shared" si="1"/>
        <v>0</v>
      </c>
      <c r="W12" s="25" t="s">
        <v>1778</v>
      </c>
    </row>
    <row r="13" spans="1:23" s="7" customFormat="1" ht="17" x14ac:dyDescent="0.2">
      <c r="A13" s="25" t="str">
        <f>BIBLE!E24</f>
        <v>B04</v>
      </c>
      <c r="B13" s="25" t="str">
        <f>BIBLE!F24</f>
        <v xml:space="preserve">Depuis combien de temps êtes vous séparé·e de l'autre parent (coparent) ? </v>
      </c>
      <c r="C13" s="1713"/>
      <c r="D13" s="1829"/>
      <c r="E13" s="1829"/>
      <c r="F13" s="1830"/>
      <c r="G13" s="1831"/>
      <c r="H13" s="1392"/>
      <c r="I13" s="27"/>
      <c r="J13" s="1842"/>
      <c r="K13" s="1837"/>
      <c r="L13" s="1839"/>
      <c r="M13" s="67"/>
      <c r="N13" s="590"/>
      <c r="O13" s="1844">
        <f t="shared" si="1"/>
        <v>0</v>
      </c>
      <c r="W13" s="25" t="s">
        <v>1775</v>
      </c>
    </row>
    <row r="14" spans="1:23" s="7" customFormat="1" ht="34" x14ac:dyDescent="0.2">
      <c r="A14" s="25" t="str">
        <f>BIBLE!E25</f>
        <v>B05</v>
      </c>
      <c r="B14" s="25" t="str">
        <f>BIBLE!F25</f>
        <v>Combien d'enfants compte la fratrie ?</v>
      </c>
      <c r="C14" s="1713"/>
      <c r="D14" s="1829"/>
      <c r="E14" s="1829"/>
      <c r="F14" s="1830"/>
      <c r="G14" s="1831"/>
      <c r="H14" s="1392"/>
      <c r="I14" s="27"/>
      <c r="J14" s="1842"/>
      <c r="K14" s="1837"/>
      <c r="L14" s="1839"/>
      <c r="M14" s="67"/>
      <c r="N14" s="590"/>
      <c r="O14" s="1844">
        <f t="shared" si="1"/>
        <v>0</v>
      </c>
      <c r="W14" s="25" t="s">
        <v>1779</v>
      </c>
    </row>
    <row r="15" spans="1:23" s="7" customFormat="1" ht="68" x14ac:dyDescent="0.2">
      <c r="A15" s="25" t="str">
        <f>BIBLE!E26</f>
        <v>B06</v>
      </c>
      <c r="B15" s="25" t="str">
        <f>BIBLE!F26</f>
        <v>Quel âge a l'enfant qui fait l'objet de l'analyse ?</v>
      </c>
      <c r="C15" s="1713"/>
      <c r="D15" s="1829"/>
      <c r="E15" s="1829"/>
      <c r="F15" s="1830"/>
      <c r="G15" s="1831"/>
      <c r="H15" s="1392"/>
      <c r="I15" s="27"/>
      <c r="J15" s="1842"/>
      <c r="K15" s="1837"/>
      <c r="L15" s="1839"/>
      <c r="M15" s="67"/>
      <c r="N15" s="1852" t="s">
        <v>1764</v>
      </c>
      <c r="O15" s="1844">
        <f t="shared" si="1"/>
        <v>0</v>
      </c>
      <c r="W15" s="25"/>
    </row>
    <row r="16" spans="1:23" s="7" customFormat="1" ht="51" x14ac:dyDescent="0.2">
      <c r="A16" s="25" t="str">
        <f>BIBLE!E27</f>
        <v>B07</v>
      </c>
      <c r="B16" s="25" t="str">
        <f>BIBLE!F27</f>
        <v xml:space="preserve">Quelle est votre situation familiale actuelle ? </v>
      </c>
      <c r="C16" s="1713"/>
      <c r="D16" s="1829"/>
      <c r="E16" s="1829"/>
      <c r="F16" s="1830"/>
      <c r="G16" s="1831"/>
      <c r="H16" s="1392"/>
      <c r="I16" s="27"/>
      <c r="J16" s="1842"/>
      <c r="K16" s="1837"/>
      <c r="L16" s="1839"/>
      <c r="M16" s="67"/>
      <c r="N16" s="590"/>
      <c r="O16" s="1844">
        <f t="shared" si="1"/>
        <v>0</v>
      </c>
      <c r="W16" s="25" t="s">
        <v>1780</v>
      </c>
    </row>
    <row r="17" spans="1:23" s="7" customFormat="1" ht="51" x14ac:dyDescent="0.2">
      <c r="A17" s="25" t="str">
        <f>BIBLE!E28</f>
        <v>B08</v>
      </c>
      <c r="B17" s="25" t="str">
        <f>BIBLE!F28</f>
        <v xml:space="preserve">Quelle est la situation familiale actuelle de l'autre parent (coparent) ?
</v>
      </c>
      <c r="C17" s="1713"/>
      <c r="D17" s="1829"/>
      <c r="E17" s="1829"/>
      <c r="F17" s="1830"/>
      <c r="G17" s="1831"/>
      <c r="H17" s="1392"/>
      <c r="I17" s="27"/>
      <c r="J17" s="1842"/>
      <c r="K17" s="1837"/>
      <c r="L17" s="1839"/>
      <c r="M17" s="67"/>
      <c r="N17" s="590"/>
      <c r="O17" s="1844">
        <f t="shared" si="1"/>
        <v>0</v>
      </c>
      <c r="W17" s="25" t="s">
        <v>1781</v>
      </c>
    </row>
    <row r="18" spans="1:23" s="7" customFormat="1" ht="51" x14ac:dyDescent="0.2">
      <c r="A18" s="25" t="str">
        <f>BIBLE!E29</f>
        <v>B11</v>
      </c>
      <c r="B18" s="25" t="str">
        <f>BIBLE!F29</f>
        <v>Dans quelle mesure l'entente de garde et/ou les droits d'accès sont-ils respectés ?</v>
      </c>
      <c r="C18" s="1849">
        <v>1</v>
      </c>
      <c r="D18" s="1829"/>
      <c r="E18" s="1829"/>
      <c r="F18" s="1830"/>
      <c r="G18" s="1831"/>
      <c r="H18" s="1392"/>
      <c r="I18" s="27"/>
      <c r="J18" s="1842"/>
      <c r="K18" s="1837"/>
      <c r="L18" s="1839"/>
      <c r="M18" s="67">
        <v>1</v>
      </c>
      <c r="N18" s="590"/>
      <c r="O18" s="1844">
        <f t="shared" si="1"/>
        <v>1</v>
      </c>
      <c r="W18" s="25" t="s">
        <v>1782</v>
      </c>
    </row>
    <row r="19" spans="1:23" s="7" customFormat="1" ht="68" x14ac:dyDescent="0.2">
      <c r="A19" s="25" t="str">
        <f>BIBLE!E30</f>
        <v>B11a</v>
      </c>
      <c r="B19" s="25" t="str">
        <f>BIBLE!F30</f>
        <v>Un jugement concernant la garde des enfants a-t-il été rendu par le tribunal ?</v>
      </c>
      <c r="C19" s="1713"/>
      <c r="D19" s="1829"/>
      <c r="E19" s="1829"/>
      <c r="F19" s="1830"/>
      <c r="G19" s="1831"/>
      <c r="H19" s="1392"/>
      <c r="I19" s="27"/>
      <c r="J19" s="1842"/>
      <c r="K19" s="1837"/>
      <c r="L19" s="1839"/>
      <c r="M19" s="67"/>
      <c r="N19" s="590"/>
      <c r="O19" s="1844">
        <f t="shared" si="1"/>
        <v>0</v>
      </c>
      <c r="W19" s="25" t="s">
        <v>1783</v>
      </c>
    </row>
    <row r="20" spans="1:23" s="7" customFormat="1" ht="17" x14ac:dyDescent="0.2">
      <c r="A20" s="25" t="str">
        <f>BIBLE!E31</f>
        <v>B11a1</v>
      </c>
      <c r="B20" s="25" t="str">
        <f>BIBLE!F31</f>
        <v>Est-ce que l'autre parent (coparent) respecte les ordonnances ou les jugements de la Cour ?</v>
      </c>
      <c r="C20" s="1713"/>
      <c r="D20" s="1829"/>
      <c r="E20" s="1829">
        <v>1</v>
      </c>
      <c r="F20" s="1830"/>
      <c r="G20" s="1831"/>
      <c r="H20" s="1392"/>
      <c r="I20" s="27"/>
      <c r="J20" s="1842"/>
      <c r="K20" s="1837"/>
      <c r="L20" s="1839"/>
      <c r="M20" s="67"/>
      <c r="N20" s="590"/>
      <c r="O20" s="1844">
        <f t="shared" si="1"/>
        <v>1</v>
      </c>
      <c r="W20" s="25" t="s">
        <v>1775</v>
      </c>
    </row>
    <row r="21" spans="1:23" s="7" customFormat="1" ht="17" x14ac:dyDescent="0.2">
      <c r="A21" s="25" t="str">
        <f>BIBLE!E32</f>
        <v>B11b</v>
      </c>
      <c r="B21" s="25" t="str">
        <f>BIBLE!F32</f>
        <v>De votre côté-vous, respectez-vous les ordonnances et l'entente de garde ?</v>
      </c>
      <c r="C21" s="1713"/>
      <c r="D21" s="1829"/>
      <c r="E21" s="1829">
        <v>1</v>
      </c>
      <c r="F21" s="1830"/>
      <c r="G21" s="1831"/>
      <c r="H21" s="1392"/>
      <c r="I21" s="27"/>
      <c r="J21" s="1842"/>
      <c r="K21" s="1837"/>
      <c r="L21" s="1839"/>
      <c r="M21" s="67"/>
      <c r="N21" s="590"/>
      <c r="O21" s="1844">
        <f t="shared" si="1"/>
        <v>1</v>
      </c>
      <c r="W21" s="25" t="s">
        <v>1775</v>
      </c>
    </row>
    <row r="22" spans="1:23" s="7" customFormat="1" ht="17" x14ac:dyDescent="0.2">
      <c r="A22" s="25" t="str">
        <f>BIBLE!E33</f>
        <v>B12</v>
      </c>
      <c r="B22" s="25" t="str">
        <f>BIBLE!F33</f>
        <v xml:space="preserve">Comment qualifieriez-vous votre relation avec votre enfant ? 
</v>
      </c>
      <c r="C22" s="1713"/>
      <c r="D22" s="1829"/>
      <c r="E22" s="1829"/>
      <c r="F22" s="1830"/>
      <c r="G22" s="1831"/>
      <c r="H22" s="1392"/>
      <c r="I22" s="27"/>
      <c r="J22" s="1842"/>
      <c r="K22" s="1837"/>
      <c r="L22" s="1839"/>
      <c r="M22" s="67"/>
      <c r="N22" s="590"/>
      <c r="O22" s="1844">
        <f t="shared" si="1"/>
        <v>0</v>
      </c>
      <c r="W22" s="25" t="s">
        <v>1784</v>
      </c>
    </row>
    <row r="23" spans="1:23" s="7" customFormat="1" ht="68" x14ac:dyDescent="0.2">
      <c r="A23" s="25" t="str">
        <f>BIBLE!E34</f>
        <v>B12a</v>
      </c>
      <c r="B23" s="25" t="str">
        <f>BIBLE!F34</f>
        <v>Quels types de difficultés relationnelles rencontrez-vous ?</v>
      </c>
      <c r="C23" s="1713"/>
      <c r="D23" s="1829"/>
      <c r="E23" s="1829"/>
      <c r="F23" s="1830"/>
      <c r="G23" s="1831"/>
      <c r="H23" s="1392"/>
      <c r="I23" s="27"/>
      <c r="J23" s="1842"/>
      <c r="K23" s="1837"/>
      <c r="L23" s="1839"/>
      <c r="M23" s="67"/>
      <c r="N23" s="590"/>
      <c r="O23" s="1844">
        <f t="shared" si="1"/>
        <v>0</v>
      </c>
      <c r="W23" s="25" t="s">
        <v>1785</v>
      </c>
    </row>
    <row r="24" spans="1:23" s="7" customFormat="1" ht="17" x14ac:dyDescent="0.2">
      <c r="A24" s="25" t="str">
        <f>BIBLE!E35</f>
        <v>B12b</v>
      </c>
      <c r="B24" s="25" t="str">
        <f>BIBLE!F35</f>
        <v xml:space="preserve">Ces difficultés relationnelles sont-elles récentes ? </v>
      </c>
      <c r="C24" s="1713"/>
      <c r="D24" s="1829"/>
      <c r="E24" s="1829"/>
      <c r="F24" s="1830"/>
      <c r="G24" s="1831"/>
      <c r="H24" s="1392"/>
      <c r="I24" s="27"/>
      <c r="J24" s="1842"/>
      <c r="K24" s="1837"/>
      <c r="L24" s="1839"/>
      <c r="M24" s="67"/>
      <c r="N24" s="590"/>
      <c r="O24" s="1844">
        <f t="shared" si="1"/>
        <v>0</v>
      </c>
      <c r="W24" s="25" t="s">
        <v>1775</v>
      </c>
    </row>
    <row r="25" spans="1:23" s="7" customFormat="1" ht="51" x14ac:dyDescent="0.2">
      <c r="A25" s="25" t="str">
        <f>BIBLE!E36</f>
        <v>B12c</v>
      </c>
      <c r="B25" s="25" t="str">
        <f>BIBLE!F36</f>
        <v>Est-ce qu'il y a d'autres enfants en rupture de lien ou de contact?</v>
      </c>
      <c r="C25" s="1713"/>
      <c r="D25" s="1829"/>
      <c r="E25" s="1829"/>
      <c r="F25" s="1830"/>
      <c r="G25" s="1831"/>
      <c r="H25" s="1392"/>
      <c r="I25" s="27"/>
      <c r="J25" s="1842"/>
      <c r="K25" s="1837"/>
      <c r="L25" s="1839"/>
      <c r="M25" s="67"/>
      <c r="N25" s="590"/>
      <c r="O25" s="1844">
        <f t="shared" si="1"/>
        <v>0</v>
      </c>
      <c r="W25" s="25" t="s">
        <v>1786</v>
      </c>
    </row>
    <row r="26" spans="1:23" s="7" customFormat="1" ht="170" x14ac:dyDescent="0.2">
      <c r="A26" s="25" t="str">
        <f>BIBLE!E37</f>
        <v>B12d</v>
      </c>
      <c r="B26" s="25" t="str">
        <f>BIBLE!F37</f>
        <v>Un traumatisme vécu par vous, le coparent ou l'enfant pourrait-il expliquer la rupture de contact ou de lien avec votre enfant ? Choix multiples</v>
      </c>
      <c r="C26" s="1713"/>
      <c r="D26" s="1829"/>
      <c r="E26" s="1829"/>
      <c r="F26" s="1830"/>
      <c r="G26" s="1831"/>
      <c r="H26" s="1392"/>
      <c r="I26" s="27"/>
      <c r="J26" s="1842"/>
      <c r="K26" s="1837"/>
      <c r="L26" s="1839"/>
      <c r="M26" s="67">
        <v>1</v>
      </c>
      <c r="N26" s="590" t="s">
        <v>1763</v>
      </c>
      <c r="O26" s="1844">
        <f t="shared" si="1"/>
        <v>0</v>
      </c>
      <c r="W26" s="25" t="s">
        <v>1787</v>
      </c>
    </row>
    <row r="27" spans="1:23" s="7" customFormat="1" x14ac:dyDescent="0.2">
      <c r="A27" s="25"/>
      <c r="B27" s="25"/>
      <c r="C27" s="6"/>
      <c r="D27" s="6"/>
      <c r="E27" s="6"/>
      <c r="F27" s="6"/>
      <c r="G27" s="6"/>
      <c r="H27" s="6"/>
      <c r="I27" s="6"/>
      <c r="J27" s="6"/>
      <c r="K27" s="525"/>
      <c r="L27" s="525"/>
      <c r="M27" s="67"/>
      <c r="N27" s="590"/>
      <c r="O27" s="1844"/>
      <c r="W27" s="25"/>
    </row>
    <row r="28" spans="1:23" s="7" customFormat="1" x14ac:dyDescent="0.2">
      <c r="A28" s="25"/>
      <c r="B28" s="25"/>
      <c r="C28" s="6"/>
      <c r="D28" s="6"/>
      <c r="E28" s="6"/>
      <c r="F28" s="6"/>
      <c r="G28" s="6"/>
      <c r="H28" s="6"/>
      <c r="I28" s="6"/>
      <c r="J28" s="6"/>
      <c r="K28" s="525"/>
      <c r="L28" s="525"/>
      <c r="M28" s="67"/>
      <c r="N28" s="590"/>
      <c r="O28" s="1844"/>
      <c r="W28" s="25"/>
    </row>
    <row r="29" spans="1:23" s="7" customFormat="1" x14ac:dyDescent="0.2">
      <c r="A29" s="25"/>
      <c r="B29" s="25"/>
      <c r="C29" s="6"/>
      <c r="D29" s="6"/>
      <c r="E29" s="6"/>
      <c r="F29" s="6"/>
      <c r="G29" s="6"/>
      <c r="H29" s="6"/>
      <c r="I29" s="6"/>
      <c r="J29" s="6"/>
      <c r="K29" s="525"/>
      <c r="L29" s="525"/>
      <c r="M29" s="67"/>
      <c r="N29" s="590"/>
      <c r="O29" s="1844"/>
      <c r="W29" s="25"/>
    </row>
    <row r="30" spans="1:23" s="7" customFormat="1" x14ac:dyDescent="0.2">
      <c r="A30" s="25"/>
      <c r="B30" s="25"/>
      <c r="C30" s="6"/>
      <c r="D30" s="6"/>
      <c r="E30" s="6"/>
      <c r="F30" s="6"/>
      <c r="G30" s="6"/>
      <c r="H30" s="6"/>
      <c r="I30" s="6"/>
      <c r="J30" s="6"/>
      <c r="K30" s="525"/>
      <c r="L30" s="525"/>
      <c r="M30" s="67"/>
      <c r="N30" s="590"/>
      <c r="O30" s="1844">
        <f t="shared" si="1"/>
        <v>0</v>
      </c>
      <c r="W30" s="25"/>
    </row>
    <row r="31" spans="1:23" s="7" customFormat="1" x14ac:dyDescent="0.2">
      <c r="A31" s="25"/>
      <c r="B31" s="25"/>
      <c r="C31" s="6"/>
      <c r="D31" s="6"/>
      <c r="E31" s="6"/>
      <c r="F31" s="6"/>
      <c r="G31" s="6"/>
      <c r="H31" s="6"/>
      <c r="I31" s="6"/>
      <c r="J31" s="6"/>
      <c r="K31" s="525"/>
      <c r="L31" s="525"/>
      <c r="M31" s="67"/>
      <c r="N31" s="590"/>
      <c r="O31" s="1844">
        <f t="shared" si="1"/>
        <v>0</v>
      </c>
      <c r="W31" s="25"/>
    </row>
    <row r="32" spans="1:23" s="7" customFormat="1" ht="17" x14ac:dyDescent="0.2">
      <c r="A32" s="25" t="str">
        <f>BIBLE!E40</f>
        <v>H01</v>
      </c>
      <c r="B32" s="25" t="str">
        <f>BIBLE!F40</f>
        <v xml:space="preserve">Quel était le degré de complicité entre vous et votre enfant ? </v>
      </c>
      <c r="C32" s="1713"/>
      <c r="D32" s="1829"/>
      <c r="E32" s="1829"/>
      <c r="F32" s="1830">
        <v>1</v>
      </c>
      <c r="G32" s="1831"/>
      <c r="H32" s="1392"/>
      <c r="I32" s="27"/>
      <c r="J32" s="1842"/>
      <c r="K32" s="1837"/>
      <c r="L32" s="1839"/>
      <c r="M32" s="67"/>
      <c r="N32" s="590"/>
      <c r="O32" s="1844">
        <f t="shared" si="1"/>
        <v>1</v>
      </c>
      <c r="W32" s="25"/>
    </row>
    <row r="33" spans="1:23" s="7" customFormat="1" ht="34" x14ac:dyDescent="0.2">
      <c r="A33" s="25" t="str">
        <f>BIBLE!E41</f>
        <v>H02</v>
      </c>
      <c r="B33" s="25" t="str">
        <f>BIBLE!F41</f>
        <v>Dans quelle mesure diriez-vous que votre enfant vous confiait ses joies, ses peines ou questionnements divers ?</v>
      </c>
      <c r="C33" s="1713"/>
      <c r="D33" s="1829"/>
      <c r="E33" s="1829"/>
      <c r="F33" s="1830">
        <v>1</v>
      </c>
      <c r="G33" s="1831"/>
      <c r="H33" s="1392"/>
      <c r="I33" s="27"/>
      <c r="J33" s="1842"/>
      <c r="K33" s="1837"/>
      <c r="L33" s="1839"/>
      <c r="M33" s="67"/>
      <c r="N33" s="590"/>
      <c r="O33" s="1844">
        <f t="shared" si="1"/>
        <v>1</v>
      </c>
      <c r="W33" s="25" t="s">
        <v>1775</v>
      </c>
    </row>
    <row r="34" spans="1:23" s="7" customFormat="1" ht="17" x14ac:dyDescent="0.2">
      <c r="A34" s="25" t="str">
        <f>BIBLE!E42</f>
        <v>H04</v>
      </c>
      <c r="B34" s="25" t="str">
        <f>BIBLE!F42</f>
        <v>Quel était le degré de complicité entre votre enfant et l'autre parent ?</v>
      </c>
      <c r="C34" s="1713"/>
      <c r="D34" s="1829"/>
      <c r="E34" s="1829"/>
      <c r="F34" s="1830">
        <v>1</v>
      </c>
      <c r="G34" s="1831"/>
      <c r="H34" s="1392"/>
      <c r="I34" s="27"/>
      <c r="J34" s="1842"/>
      <c r="K34" s="1837"/>
      <c r="L34" s="1839"/>
      <c r="M34" s="67"/>
      <c r="N34" s="590"/>
      <c r="O34" s="1844">
        <f t="shared" si="1"/>
        <v>1</v>
      </c>
      <c r="W34" s="25" t="s">
        <v>1775</v>
      </c>
    </row>
    <row r="35" spans="1:23" s="7" customFormat="1" ht="51" x14ac:dyDescent="0.2">
      <c r="A35" s="25" t="str">
        <f>BIBLE!E43</f>
        <v>H04a</v>
      </c>
      <c r="B35" s="25" t="str">
        <f>BIBLE!F43</f>
        <v>Dans quelle mesure diriez-vous que leur relation était fusionnelle ?</v>
      </c>
      <c r="C35" s="1713"/>
      <c r="D35" s="1829"/>
      <c r="E35" s="1829"/>
      <c r="F35" s="1830">
        <v>1</v>
      </c>
      <c r="G35" s="1831">
        <v>1</v>
      </c>
      <c r="H35" s="1392"/>
      <c r="I35" s="27"/>
      <c r="J35" s="1842"/>
      <c r="K35" s="1837"/>
      <c r="L35" s="1839"/>
      <c r="M35" s="67"/>
      <c r="N35" s="590"/>
      <c r="O35" s="1844">
        <f t="shared" si="1"/>
        <v>2</v>
      </c>
      <c r="W35" s="25" t="s">
        <v>1788</v>
      </c>
    </row>
    <row r="36" spans="1:23" s="7" customFormat="1" ht="17" x14ac:dyDescent="0.2">
      <c r="A36" s="25" t="str">
        <f>BIBLE!E44</f>
        <v>H04a1</v>
      </c>
      <c r="B36" s="25" t="str">
        <f>BIBLE!F44</f>
        <v>Dans quelle mesure diriez-vous que votre enfant idéalisait l’autre parent ?</v>
      </c>
      <c r="C36" s="1713"/>
      <c r="D36" s="1829"/>
      <c r="E36" s="1829"/>
      <c r="F36" s="1830">
        <v>1</v>
      </c>
      <c r="G36" s="1831"/>
      <c r="H36" s="1392"/>
      <c r="I36" s="27"/>
      <c r="J36" s="1842"/>
      <c r="K36" s="1837"/>
      <c r="L36" s="1839"/>
      <c r="M36" s="67"/>
      <c r="N36" s="590"/>
      <c r="O36" s="1844">
        <f t="shared" si="1"/>
        <v>1</v>
      </c>
      <c r="W36" s="25" t="s">
        <v>1775</v>
      </c>
    </row>
    <row r="37" spans="1:23" s="7" customFormat="1" ht="17" x14ac:dyDescent="0.2">
      <c r="A37" s="25" t="str">
        <f>BIBLE!E45</f>
        <v>H05</v>
      </c>
      <c r="B37" s="25" t="str">
        <f>BIBLE!F45</f>
        <v>Arrivait-il que l'autre parent vous critique ou vous dénigre devant votre enfant ?</v>
      </c>
      <c r="C37" s="1713"/>
      <c r="D37" s="1829"/>
      <c r="E37" s="1829"/>
      <c r="F37" s="1830">
        <v>1</v>
      </c>
      <c r="G37" s="1831"/>
      <c r="H37" s="1392"/>
      <c r="I37" s="27"/>
      <c r="J37" s="1842"/>
      <c r="K37" s="1837"/>
      <c r="L37" s="1839"/>
      <c r="M37" s="67"/>
      <c r="N37" s="590"/>
      <c r="O37" s="1844">
        <f t="shared" si="1"/>
        <v>1</v>
      </c>
      <c r="W37" s="25" t="s">
        <v>1775</v>
      </c>
    </row>
    <row r="38" spans="1:23" s="7" customFormat="1" ht="34" x14ac:dyDescent="0.2">
      <c r="A38" s="25" t="str">
        <f>BIBLE!E46</f>
        <v>H05a</v>
      </c>
      <c r="B38" s="25" t="str">
        <f>BIBLE!F46</f>
        <v>Arrivait-il que l'autre parent hausse le ton ou vous insulte pour imposer son point de vue ou sa volonté ?</v>
      </c>
      <c r="C38" s="1713"/>
      <c r="D38" s="1829"/>
      <c r="E38" s="1829"/>
      <c r="F38" s="1830"/>
      <c r="G38" s="1831"/>
      <c r="H38" s="1392"/>
      <c r="I38" s="27"/>
      <c r="J38" s="1842">
        <v>1</v>
      </c>
      <c r="K38" s="1837"/>
      <c r="L38" s="1839"/>
      <c r="M38" s="67"/>
      <c r="N38" s="590"/>
      <c r="O38" s="1844">
        <f t="shared" si="1"/>
        <v>1</v>
      </c>
      <c r="W38" s="25" t="s">
        <v>1775</v>
      </c>
    </row>
    <row r="39" spans="1:23" s="7" customFormat="1" ht="34" x14ac:dyDescent="0.2">
      <c r="A39" s="25" t="str">
        <f>BIBLE!E47</f>
        <v>H06</v>
      </c>
      <c r="B39" s="834" t="str">
        <f>BIBLE!F47</f>
        <v xml:space="preserve">Dans quelle mesure diriez-vous que l'autre parent percevait votre rôle parental aussi important que le sien ? </v>
      </c>
      <c r="C39" s="1713"/>
      <c r="D39" s="1829"/>
      <c r="E39" s="1829"/>
      <c r="F39" s="1830">
        <v>1</v>
      </c>
      <c r="G39" s="1831"/>
      <c r="H39" s="1392"/>
      <c r="I39" s="27"/>
      <c r="J39" s="1842"/>
      <c r="K39" s="1837"/>
      <c r="L39" s="1839"/>
      <c r="M39" s="67"/>
      <c r="N39" s="590"/>
      <c r="O39" s="1844">
        <f t="shared" si="1"/>
        <v>1</v>
      </c>
      <c r="W39" s="25"/>
    </row>
    <row r="40" spans="1:23" s="7" customFormat="1" ht="34" x14ac:dyDescent="0.2">
      <c r="A40" s="25" t="str">
        <f>BIBLE!E48</f>
        <v>H06a</v>
      </c>
      <c r="B40" s="25" t="str">
        <f>BIBLE!F48</f>
        <v>Arrivait-il que l'autre parent présente à votre entourage une vision négative de vos compétences parentales ?</v>
      </c>
      <c r="C40" s="1713"/>
      <c r="D40" s="1829"/>
      <c r="E40" s="1829"/>
      <c r="F40" s="1830">
        <v>1</v>
      </c>
      <c r="G40" s="1831"/>
      <c r="H40" s="1392"/>
      <c r="I40" s="27"/>
      <c r="J40" s="1842">
        <v>1</v>
      </c>
      <c r="K40" s="1837"/>
      <c r="L40" s="1839"/>
      <c r="M40" s="67"/>
      <c r="N40" s="590"/>
      <c r="O40" s="1844">
        <f t="shared" si="1"/>
        <v>2</v>
      </c>
      <c r="W40" s="25" t="s">
        <v>1775</v>
      </c>
    </row>
    <row r="41" spans="1:23" s="7" customFormat="1" x14ac:dyDescent="0.2">
      <c r="A41" s="25"/>
      <c r="B41" s="25"/>
      <c r="C41" s="6"/>
      <c r="D41" s="6"/>
      <c r="E41" s="6"/>
      <c r="F41" s="6"/>
      <c r="G41" s="6"/>
      <c r="H41" s="6"/>
      <c r="I41" s="6"/>
      <c r="J41" s="6"/>
      <c r="K41" s="525"/>
      <c r="L41" s="525"/>
      <c r="M41" s="67"/>
      <c r="N41" s="590"/>
      <c r="O41" s="1844"/>
      <c r="W41" s="25"/>
    </row>
    <row r="42" spans="1:23" s="7" customFormat="1" x14ac:dyDescent="0.2">
      <c r="A42" s="25"/>
      <c r="B42" s="25"/>
      <c r="C42" s="6"/>
      <c r="D42" s="6"/>
      <c r="E42" s="6"/>
      <c r="F42" s="6"/>
      <c r="G42" s="6"/>
      <c r="H42" s="6"/>
      <c r="I42" s="6"/>
      <c r="J42" s="6"/>
      <c r="K42" s="525"/>
      <c r="L42" s="525"/>
      <c r="M42" s="67"/>
      <c r="N42" s="590"/>
      <c r="O42" s="1844"/>
      <c r="W42" s="25"/>
    </row>
    <row r="43" spans="1:23" s="7" customFormat="1" x14ac:dyDescent="0.2">
      <c r="A43" s="25"/>
      <c r="B43" s="25"/>
      <c r="C43" s="6"/>
      <c r="D43" s="6"/>
      <c r="E43" s="6"/>
      <c r="F43" s="6"/>
      <c r="G43" s="6"/>
      <c r="H43" s="6"/>
      <c r="I43" s="6"/>
      <c r="J43" s="6"/>
      <c r="K43" s="525"/>
      <c r="L43" s="525"/>
      <c r="M43" s="67"/>
      <c r="N43" s="590"/>
      <c r="O43" s="1844"/>
      <c r="W43" s="25"/>
    </row>
    <row r="44" spans="1:23" s="7" customFormat="1" ht="17" x14ac:dyDescent="0.2">
      <c r="A44" s="25" t="str">
        <f>BIBLE!E50</f>
        <v>PCR00</v>
      </c>
      <c r="B44" s="25" t="str">
        <f>BIBLE!F50</f>
        <v>Quelle est le degré de complicité entre vous et l'autre parent (coparent), aujourd'hui ?</v>
      </c>
      <c r="C44" s="1829"/>
      <c r="D44" s="1829"/>
      <c r="E44" s="1829"/>
      <c r="F44" s="1829"/>
      <c r="G44" s="1829"/>
      <c r="H44" s="1829"/>
      <c r="I44" s="1829"/>
      <c r="J44" s="1829"/>
      <c r="K44" s="1843"/>
      <c r="L44" s="1843"/>
      <c r="M44" s="67"/>
      <c r="N44" s="590"/>
      <c r="O44" s="1844" t="s">
        <v>1756</v>
      </c>
      <c r="W44" s="25"/>
    </row>
    <row r="45" spans="1:23" s="7" customFormat="1" ht="34" x14ac:dyDescent="0.2">
      <c r="A45" s="25" t="str">
        <f>BIBLE!E51</f>
        <v>PCR01</v>
      </c>
      <c r="B45" s="25" t="str">
        <f>BIBLE!F51</f>
        <v>Vous êtes à l'aise en présence de l'autre parent (coparent).</v>
      </c>
      <c r="C45" s="1713">
        <v>1</v>
      </c>
      <c r="D45" s="1829"/>
      <c r="E45" s="1829"/>
      <c r="F45" s="1830"/>
      <c r="G45" s="1831"/>
      <c r="H45" s="1392"/>
      <c r="I45" s="27"/>
      <c r="J45" s="1842"/>
      <c r="K45" s="1837"/>
      <c r="L45" s="1839"/>
      <c r="M45" s="67"/>
      <c r="N45" s="590"/>
      <c r="O45" s="1844">
        <f t="shared" si="1"/>
        <v>1</v>
      </c>
      <c r="W45" s="25" t="s">
        <v>1789</v>
      </c>
    </row>
    <row r="46" spans="1:23" s="7" customFormat="1" ht="17" x14ac:dyDescent="0.2">
      <c r="A46" s="25" t="str">
        <f>BIBLE!E52</f>
        <v>PCR01a</v>
      </c>
      <c r="B46" s="25" t="str">
        <f>BIBLE!F52</f>
        <v>Vous devez marcher sur des œufs afin d'éviter les conflits.</v>
      </c>
      <c r="C46" s="1713">
        <v>1</v>
      </c>
      <c r="D46" s="1829"/>
      <c r="E46" s="1829"/>
      <c r="F46" s="1830"/>
      <c r="G46" s="1831"/>
      <c r="H46" s="1392"/>
      <c r="I46" s="27"/>
      <c r="J46" s="1842" t="s">
        <v>1800</v>
      </c>
      <c r="K46" s="1837"/>
      <c r="L46" s="1839"/>
      <c r="M46" s="67"/>
      <c r="N46" s="590"/>
      <c r="O46" s="1844">
        <v>2</v>
      </c>
      <c r="W46" s="25"/>
    </row>
    <row r="47" spans="1:23" s="7" customFormat="1" ht="34" x14ac:dyDescent="0.2">
      <c r="A47" s="25" t="str">
        <f>BIBLE!E53</f>
        <v>PCR01a1</v>
      </c>
      <c r="B47" s="25" t="str">
        <f>BIBLE!F53</f>
        <v xml:space="preserve"> Arrive-t-il que l'autre parent hausse la voix ou utilise des jurons pour imposer sa vision des choses ?</v>
      </c>
      <c r="C47" s="1713">
        <v>1</v>
      </c>
      <c r="D47" s="1829"/>
      <c r="E47" s="1829"/>
      <c r="F47" s="1830"/>
      <c r="G47" s="1831"/>
      <c r="H47" s="1392"/>
      <c r="I47" s="27"/>
      <c r="J47" s="1842">
        <v>1</v>
      </c>
      <c r="K47" s="1837"/>
      <c r="L47" s="1839"/>
      <c r="M47" s="67"/>
      <c r="N47" s="590"/>
      <c r="O47" s="1844">
        <f t="shared" si="1"/>
        <v>2</v>
      </c>
      <c r="W47" s="25" t="s">
        <v>1775</v>
      </c>
    </row>
    <row r="48" spans="1:23" s="7" customFormat="1" ht="17" x14ac:dyDescent="0.2">
      <c r="A48" s="25" t="str">
        <f>BIBLE!E54</f>
        <v>PCR01b</v>
      </c>
      <c r="B48" s="25" t="str">
        <f>BIBLE!F54</f>
        <v>Quels sont les sujets délicats entre vous et l'autre parent ?</v>
      </c>
      <c r="C48" s="1713" t="s">
        <v>1755</v>
      </c>
      <c r="D48" s="1713" t="s">
        <v>1754</v>
      </c>
      <c r="E48" s="1713" t="s">
        <v>1754</v>
      </c>
      <c r="F48" s="1713" t="s">
        <v>1754</v>
      </c>
      <c r="G48" s="1713" t="s">
        <v>1754</v>
      </c>
      <c r="H48" s="1713" t="s">
        <v>1754</v>
      </c>
      <c r="I48" s="1713" t="s">
        <v>1754</v>
      </c>
      <c r="J48" s="1713" t="s">
        <v>1754</v>
      </c>
      <c r="K48" s="1713" t="s">
        <v>1754</v>
      </c>
      <c r="L48" s="1713" t="s">
        <v>1754</v>
      </c>
      <c r="M48" s="67"/>
      <c r="N48" s="590"/>
      <c r="O48" s="1844"/>
      <c r="W48" s="25" t="s">
        <v>1784</v>
      </c>
    </row>
    <row r="49" spans="1:23" s="7" customFormat="1" ht="170" x14ac:dyDescent="0.2">
      <c r="A49" s="25" t="str">
        <f>BIBLE!E55</f>
        <v>PCR02</v>
      </c>
      <c r="B49" s="25" t="str">
        <f>BIBLE!F55</f>
        <v>Vous devez faire des compromis afin d'assurer une bonne entente de garde.</v>
      </c>
      <c r="C49" s="1849">
        <v>1</v>
      </c>
      <c r="D49" s="1829"/>
      <c r="E49" s="1829">
        <v>1</v>
      </c>
      <c r="F49" s="1830"/>
      <c r="G49" s="1831"/>
      <c r="H49" s="1392"/>
      <c r="I49" s="27"/>
      <c r="J49" s="1842"/>
      <c r="K49" s="1837"/>
      <c r="L49" s="1839"/>
      <c r="M49" s="67"/>
      <c r="N49" s="590"/>
      <c r="O49" s="1844">
        <f t="shared" si="1"/>
        <v>2</v>
      </c>
      <c r="U49" s="25" t="s">
        <v>1765</v>
      </c>
      <c r="W49" s="25"/>
    </row>
    <row r="50" spans="1:23" s="7" customFormat="1" ht="34" x14ac:dyDescent="0.2">
      <c r="A50" s="25" t="str">
        <f>BIBLE!E56</f>
        <v>PCR03</v>
      </c>
      <c r="B50" s="25" t="str">
        <f>BIBLE!F56</f>
        <v xml:space="preserve">Vous saluez ou allez vers l'autre parent lors de changements de garde, à l'école ou lors d'événements culturels ou sportifs. </v>
      </c>
      <c r="C50" s="1713"/>
      <c r="D50" s="1829"/>
      <c r="E50" s="1829">
        <v>1</v>
      </c>
      <c r="F50" s="1830"/>
      <c r="G50" s="1831"/>
      <c r="H50" s="1392">
        <v>1</v>
      </c>
      <c r="I50" s="27"/>
      <c r="J50" s="1842"/>
      <c r="K50" s="1837"/>
      <c r="L50" s="1839"/>
      <c r="M50" s="67"/>
      <c r="N50" s="590"/>
      <c r="O50" s="1844">
        <f t="shared" si="1"/>
        <v>2</v>
      </c>
      <c r="W50" s="25" t="s">
        <v>1775</v>
      </c>
    </row>
    <row r="51" spans="1:23" s="7" customFormat="1" ht="34" x14ac:dyDescent="0.2">
      <c r="A51" s="25" t="str">
        <f>BIBLE!E57</f>
        <v>PCR04</v>
      </c>
      <c r="B51" s="25" t="str">
        <f>BIBLE!F57</f>
        <v>Vous questionnez votre enfant à son retour de garde afin de connaître la routine (repas, dodo, activités, etc.) chez l'autre parent.</v>
      </c>
      <c r="C51" s="1713"/>
      <c r="D51" s="1829"/>
      <c r="E51" s="1829">
        <v>1</v>
      </c>
      <c r="F51" s="1830"/>
      <c r="G51" s="1831"/>
      <c r="H51" s="1392"/>
      <c r="I51" s="27"/>
      <c r="J51" s="1842"/>
      <c r="K51" s="1837"/>
      <c r="L51" s="1839"/>
      <c r="M51" s="67"/>
      <c r="N51" s="590"/>
      <c r="O51" s="1844">
        <f t="shared" si="1"/>
        <v>1</v>
      </c>
      <c r="W51" s="25" t="s">
        <v>1775</v>
      </c>
    </row>
    <row r="52" spans="1:23" s="7" customFormat="1" ht="34" x14ac:dyDescent="0.2">
      <c r="A52" s="25" t="str">
        <f>BIBLE!E58</f>
        <v>PCR06</v>
      </c>
      <c r="B52" s="25" t="str">
        <f>BIBLE!F58</f>
        <v xml:space="preserve">Vous faites un retour sur les interventions de l'autre parent (nutrition, hygiène, logistique, etc.) au retour des enfants, par courriel ou message texte. </v>
      </c>
      <c r="C52" s="1713"/>
      <c r="D52" s="1829"/>
      <c r="E52" s="1829">
        <v>1</v>
      </c>
      <c r="F52" s="1830"/>
      <c r="G52" s="1831"/>
      <c r="H52" s="1392">
        <v>1</v>
      </c>
      <c r="I52" s="27"/>
      <c r="J52" s="1842"/>
      <c r="K52" s="1837"/>
      <c r="L52" s="1839"/>
      <c r="M52" s="67"/>
      <c r="N52" s="590"/>
      <c r="O52" s="1844">
        <f t="shared" si="1"/>
        <v>2</v>
      </c>
      <c r="W52" s="25" t="s">
        <v>1775</v>
      </c>
    </row>
    <row r="53" spans="1:23" s="7" customFormat="1" ht="170" x14ac:dyDescent="0.2">
      <c r="A53" s="25" t="str">
        <f>BIBLE!E59</f>
        <v>PCR06a</v>
      </c>
      <c r="B53" s="25" t="str">
        <f>BIBLE!F59</f>
        <v>Quels sont les sujets de discorde entre vous et l'autre parent ?</v>
      </c>
      <c r="C53" s="1713" t="s">
        <v>1755</v>
      </c>
      <c r="D53" s="1713" t="s">
        <v>1754</v>
      </c>
      <c r="E53" s="1713" t="s">
        <v>1754</v>
      </c>
      <c r="F53" s="1713" t="s">
        <v>1754</v>
      </c>
      <c r="G53" s="1713" t="s">
        <v>1754</v>
      </c>
      <c r="H53" s="1713" t="s">
        <v>1754</v>
      </c>
      <c r="I53" s="1713" t="s">
        <v>1754</v>
      </c>
      <c r="J53" s="1713" t="s">
        <v>1754</v>
      </c>
      <c r="K53" s="1713" t="s">
        <v>1754</v>
      </c>
      <c r="L53" s="1713" t="s">
        <v>1754</v>
      </c>
      <c r="M53" s="67"/>
      <c r="N53" s="590"/>
      <c r="O53" s="1844"/>
      <c r="U53" s="25" t="s">
        <v>1765</v>
      </c>
      <c r="W53" s="25" t="s">
        <v>1784</v>
      </c>
    </row>
    <row r="54" spans="1:23" s="7" customFormat="1" ht="17" x14ac:dyDescent="0.2">
      <c r="A54" s="25" t="str">
        <f>BIBLE!E60</f>
        <v>PCR07</v>
      </c>
      <c r="B54" s="25" t="str">
        <f>BIBLE!F60</f>
        <v>Il vous arrive de faire des reproches à l'autre parent devant votre enfant.</v>
      </c>
      <c r="C54" s="1849">
        <v>1</v>
      </c>
      <c r="D54" s="1829"/>
      <c r="E54" s="1829">
        <v>1</v>
      </c>
      <c r="F54" s="1830"/>
      <c r="G54" s="1831"/>
      <c r="H54" s="1392">
        <v>1</v>
      </c>
      <c r="I54" s="27"/>
      <c r="J54" s="1842"/>
      <c r="K54" s="1837"/>
      <c r="L54" s="1839"/>
      <c r="M54" s="67"/>
      <c r="N54" s="590"/>
      <c r="O54" s="1844">
        <f t="shared" si="1"/>
        <v>3</v>
      </c>
      <c r="W54" s="25"/>
    </row>
    <row r="55" spans="1:23" s="7" customFormat="1" ht="34" x14ac:dyDescent="0.2">
      <c r="A55" s="25" t="str">
        <f>BIBLE!E61</f>
        <v>PCR08</v>
      </c>
      <c r="B55" s="25" t="str">
        <f>BIBLE!F61</f>
        <v>À quelle fréquence communiquez-vous avec votre enfant lorsqu’il ou elle est chez l‘autre parent ?</v>
      </c>
      <c r="C55" s="1713"/>
      <c r="D55" s="1829"/>
      <c r="E55" s="1829"/>
      <c r="F55" s="1830"/>
      <c r="G55" s="1831"/>
      <c r="H55" s="1392">
        <v>1</v>
      </c>
      <c r="I55" s="27"/>
      <c r="J55" s="1842"/>
      <c r="K55" s="1837"/>
      <c r="L55" s="1839"/>
      <c r="M55" s="67"/>
      <c r="N55" s="590"/>
      <c r="O55" s="1844">
        <f t="shared" si="1"/>
        <v>1</v>
      </c>
      <c r="W55" s="25" t="s">
        <v>1775</v>
      </c>
    </row>
    <row r="56" spans="1:23" s="7" customFormat="1" ht="34" x14ac:dyDescent="0.2">
      <c r="A56" s="25" t="str">
        <f>BIBLE!E62</f>
        <v>PCR09</v>
      </c>
      <c r="B56" s="25" t="str">
        <f>BIBLE!F62</f>
        <v>Vous laissez à votre enfant le droit de choisir la fréquence des visites et le temps qu'il passe chez l'autre parent.</v>
      </c>
      <c r="C56" s="1849" t="s">
        <v>1766</v>
      </c>
      <c r="D56" s="1829">
        <v>1</v>
      </c>
      <c r="E56" s="1829"/>
      <c r="F56" s="1830"/>
      <c r="G56" s="1831"/>
      <c r="H56" s="1392">
        <v>1</v>
      </c>
      <c r="I56" s="27"/>
      <c r="J56" s="1842"/>
      <c r="K56" s="1837"/>
      <c r="L56" s="1839"/>
      <c r="M56" s="67"/>
      <c r="N56" s="590"/>
      <c r="O56" s="1844">
        <v>3</v>
      </c>
      <c r="W56" s="25" t="s">
        <v>1790</v>
      </c>
    </row>
    <row r="57" spans="1:23" s="7" customFormat="1" ht="34" x14ac:dyDescent="0.2">
      <c r="A57" s="25" t="str">
        <f>BIBLE!E63</f>
        <v>PCR19</v>
      </c>
      <c r="B57" s="25" t="str">
        <f>BIBLE!F63</f>
        <v>Dans quelle mesure considérez-vous l'autre parent comme étant votre égal·e sur le plan parental ?</v>
      </c>
      <c r="C57" s="1713"/>
      <c r="D57" s="1829">
        <v>1</v>
      </c>
      <c r="E57" s="1829"/>
      <c r="F57" s="1830"/>
      <c r="G57" s="1831"/>
      <c r="H57" s="1392"/>
      <c r="I57" s="27"/>
      <c r="J57" s="1842"/>
      <c r="K57" s="1837"/>
      <c r="L57" s="1839"/>
      <c r="M57" s="67"/>
      <c r="N57" s="590"/>
      <c r="O57" s="1844">
        <f t="shared" si="1"/>
        <v>1</v>
      </c>
      <c r="W57" s="25" t="s">
        <v>1775</v>
      </c>
    </row>
    <row r="58" spans="1:23" s="7" customFormat="1" ht="34" x14ac:dyDescent="0.2">
      <c r="A58" s="25" t="str">
        <f>BIBLE!E64</f>
        <v>PCR10</v>
      </c>
      <c r="B58" s="25" t="str">
        <f>BIBLE!F64</f>
        <v>Dans quelle mesure acceptez-vous ou êtes-vous serein·e face aux exigences de la coparentalité (logistique horaire, transport, vacances, etc.) ?</v>
      </c>
      <c r="C58" s="1713"/>
      <c r="D58" s="1829">
        <v>1</v>
      </c>
      <c r="E58" s="1829"/>
      <c r="F58" s="1830"/>
      <c r="G58" s="1831"/>
      <c r="H58" s="1392"/>
      <c r="I58" s="27"/>
      <c r="J58" s="1842"/>
      <c r="K58" s="1837"/>
      <c r="L58" s="1839"/>
      <c r="M58" s="67"/>
      <c r="N58" s="590"/>
      <c r="O58" s="1844">
        <f t="shared" si="1"/>
        <v>1</v>
      </c>
      <c r="W58" s="25" t="s">
        <v>1775</v>
      </c>
    </row>
    <row r="59" spans="1:23" s="7" customFormat="1" ht="34" x14ac:dyDescent="0.2">
      <c r="A59" s="25" t="str">
        <f>BIBLE!E65</f>
        <v>PCR11</v>
      </c>
      <c r="B59" s="25" t="str">
        <f>BIBLE!F65</f>
        <v>Vous acceptez que les vêtements et/ou jouets de votre enfant se promènent d’une maison à l’autre.</v>
      </c>
      <c r="C59" s="1713"/>
      <c r="D59" s="1829"/>
      <c r="E59" s="1829">
        <v>1</v>
      </c>
      <c r="F59" s="1830"/>
      <c r="G59" s="1831"/>
      <c r="H59" s="1392">
        <v>1</v>
      </c>
      <c r="I59" s="27"/>
      <c r="J59" s="1842"/>
      <c r="K59" s="1837"/>
      <c r="L59" s="1839"/>
      <c r="M59" s="67"/>
      <c r="N59" s="590"/>
      <c r="O59" s="1844">
        <f t="shared" si="1"/>
        <v>2</v>
      </c>
      <c r="W59" s="25"/>
    </row>
    <row r="60" spans="1:23" s="7" customFormat="1" ht="17" x14ac:dyDescent="0.2">
      <c r="A60" s="25" t="str">
        <f>BIBLE!E66</f>
        <v>PCR12</v>
      </c>
      <c r="B60" s="25" t="str">
        <f>BIBLE!F66</f>
        <v>Il vous arrive de prendre des décisions sans consulter l'autre parent.</v>
      </c>
      <c r="C60" s="1849">
        <v>1</v>
      </c>
      <c r="D60" s="1829">
        <v>1</v>
      </c>
      <c r="E60" s="1829"/>
      <c r="F60" s="1830"/>
      <c r="G60" s="1831"/>
      <c r="H60" s="1392">
        <v>1</v>
      </c>
      <c r="I60" s="27"/>
      <c r="J60" s="1842"/>
      <c r="K60" s="1837"/>
      <c r="L60" s="1839"/>
      <c r="M60" s="67"/>
      <c r="N60" s="590"/>
      <c r="O60" s="1844">
        <f t="shared" si="1"/>
        <v>3</v>
      </c>
      <c r="W60" s="25"/>
    </row>
    <row r="61" spans="1:23" s="7" customFormat="1" ht="85" x14ac:dyDescent="0.2">
      <c r="A61" s="25" t="str">
        <f>BIBLE!E67</f>
        <v>PCR12a</v>
      </c>
      <c r="B61" s="25" t="str">
        <f>BIBLE!F67</f>
        <v>Quel type de décisions avez-vous pris sans consulter l'autre parent ou sans attendre son approbation ?</v>
      </c>
      <c r="C61" s="1713" t="s">
        <v>1755</v>
      </c>
      <c r="D61" s="1713" t="s">
        <v>1754</v>
      </c>
      <c r="E61" s="1713" t="s">
        <v>1754</v>
      </c>
      <c r="F61" s="1713" t="s">
        <v>1754</v>
      </c>
      <c r="G61" s="1713" t="s">
        <v>1754</v>
      </c>
      <c r="H61" s="1713" t="s">
        <v>1754</v>
      </c>
      <c r="I61" s="1713" t="s">
        <v>1754</v>
      </c>
      <c r="J61" s="1713" t="s">
        <v>1754</v>
      </c>
      <c r="K61" s="1713" t="s">
        <v>1754</v>
      </c>
      <c r="L61" s="1713" t="s">
        <v>1754</v>
      </c>
      <c r="M61" s="67" t="s">
        <v>673</v>
      </c>
      <c r="N61" s="590"/>
      <c r="O61" s="1844"/>
      <c r="U61" s="67" t="s">
        <v>1767</v>
      </c>
      <c r="W61" s="25"/>
    </row>
    <row r="62" spans="1:23" s="7" customFormat="1" ht="34" x14ac:dyDescent="0.2">
      <c r="A62" s="25" t="str">
        <f>BIBLE!E68</f>
        <v>PCR13</v>
      </c>
      <c r="B62" s="25" t="str">
        <f>BIBLE!F68</f>
        <v>Le contexte de coparentalité vous contraint à demander à votre enfant de faire les messages et demandes entourant la logistique familiale.</v>
      </c>
      <c r="C62" s="1713"/>
      <c r="D62" s="1829"/>
      <c r="E62" s="1829">
        <v>1</v>
      </c>
      <c r="F62" s="1830"/>
      <c r="G62" s="1831"/>
      <c r="H62" s="1392">
        <v>1</v>
      </c>
      <c r="I62" s="27"/>
      <c r="J62" s="1842"/>
      <c r="K62" s="1837"/>
      <c r="L62" s="1839"/>
      <c r="M62" s="67"/>
      <c r="N62" s="590"/>
      <c r="O62" s="1844">
        <f t="shared" si="1"/>
        <v>2</v>
      </c>
      <c r="W62" s="25" t="s">
        <v>1775</v>
      </c>
    </row>
    <row r="63" spans="1:23" s="7" customFormat="1" ht="17" x14ac:dyDescent="0.2">
      <c r="A63" s="25" t="str">
        <f>BIBLE!E69</f>
        <v>PCR14</v>
      </c>
      <c r="B63" s="25" t="str">
        <f>BIBLE!F69</f>
        <v>Un enfant de 12 ans est assez mature pour choisir où et avec qui il veut vivre.</v>
      </c>
      <c r="C63" s="1713"/>
      <c r="D63" s="1829">
        <v>1</v>
      </c>
      <c r="E63" s="1829"/>
      <c r="F63" s="1830"/>
      <c r="G63" s="1831"/>
      <c r="H63" s="1392">
        <v>1</v>
      </c>
      <c r="I63" s="27"/>
      <c r="J63" s="1842"/>
      <c r="K63" s="1837"/>
      <c r="L63" s="1839"/>
      <c r="M63" s="67"/>
      <c r="N63" s="590"/>
      <c r="O63" s="1844">
        <f t="shared" si="1"/>
        <v>2</v>
      </c>
      <c r="W63" s="25" t="s">
        <v>1775</v>
      </c>
    </row>
    <row r="64" spans="1:23" s="7" customFormat="1" ht="34" x14ac:dyDescent="0.2">
      <c r="A64" s="25" t="str">
        <f>BIBLE!E70</f>
        <v>PCR15</v>
      </c>
      <c r="B64" s="25" t="str">
        <f>BIBLE!F70</f>
        <v>Il est important que votre enfant soit au courant des enjeux de la séparation et/ou du conflit qui vous oppose à l'autre parent.</v>
      </c>
      <c r="C64" s="1713"/>
      <c r="D64" s="1829"/>
      <c r="E64" s="1829">
        <v>1</v>
      </c>
      <c r="F64" s="1830"/>
      <c r="G64" s="1831"/>
      <c r="H64" s="1392">
        <v>1</v>
      </c>
      <c r="I64" s="27"/>
      <c r="J64" s="1842"/>
      <c r="K64" s="1837"/>
      <c r="L64" s="1839"/>
      <c r="M64" s="67"/>
      <c r="N64" s="590"/>
      <c r="O64" s="1844">
        <f t="shared" si="1"/>
        <v>2</v>
      </c>
      <c r="W64" s="25" t="s">
        <v>1775</v>
      </c>
    </row>
    <row r="65" spans="1:23" s="7" customFormat="1" ht="34" x14ac:dyDescent="0.2">
      <c r="A65" s="25" t="str">
        <f>BIBLE!E71</f>
        <v>PCR15a</v>
      </c>
      <c r="B65" s="25" t="str">
        <f>BIBLE!F71</f>
        <v>Avez-vous mis votre enfant au courant des enjeux juridiques (pension alimentaire, modalité de garde, etc.) qui vous oppose à l’autre parent ?</v>
      </c>
      <c r="C65" s="1829" t="s">
        <v>1757</v>
      </c>
      <c r="D65" s="1829"/>
      <c r="E65" s="1829"/>
      <c r="F65" s="1829"/>
      <c r="G65" s="1829"/>
      <c r="H65" s="1829"/>
      <c r="I65" s="1829"/>
      <c r="J65" s="1829"/>
      <c r="K65" s="1843"/>
      <c r="L65" s="1843"/>
      <c r="M65" s="67" t="s">
        <v>673</v>
      </c>
      <c r="N65" s="590"/>
      <c r="O65" s="1844"/>
      <c r="U65" s="67" t="s">
        <v>673</v>
      </c>
      <c r="W65" s="25" t="s">
        <v>1775</v>
      </c>
    </row>
    <row r="66" spans="1:23" s="7" customFormat="1" ht="34" x14ac:dyDescent="0.2">
      <c r="A66" s="25" t="str">
        <f>BIBLE!E72</f>
        <v>PCR16</v>
      </c>
      <c r="B66" s="25" t="str">
        <f>BIBLE!F72</f>
        <v xml:space="preserve">Dans quelle mesure acceptez-vous ou êtes-vous serein·e avec la séparation (couple et famille) ? </v>
      </c>
      <c r="C66" s="1713"/>
      <c r="D66" s="1859">
        <v>1</v>
      </c>
      <c r="E66" s="1829"/>
      <c r="F66" s="1830"/>
      <c r="G66" s="1831"/>
      <c r="H66" s="1392">
        <v>1</v>
      </c>
      <c r="I66" s="27"/>
      <c r="J66" s="1842"/>
      <c r="K66" s="1837"/>
      <c r="L66" s="1839"/>
      <c r="M66" s="67"/>
      <c r="N66" s="590"/>
      <c r="O66" s="1844">
        <f t="shared" si="1"/>
        <v>2</v>
      </c>
      <c r="W66" s="25" t="s">
        <v>1775</v>
      </c>
    </row>
    <row r="67" spans="1:23" s="7" customFormat="1" ht="17" x14ac:dyDescent="0.2">
      <c r="A67" s="25" t="str">
        <f>BIBLE!E73</f>
        <v>PCR16a</v>
      </c>
      <c r="B67" s="25" t="str">
        <f>BIBLE!F73</f>
        <v>Vous confiez à votre enfant votre peine concernant la séparation.</v>
      </c>
      <c r="C67" s="1713"/>
      <c r="D67" s="1829"/>
      <c r="E67" s="1829"/>
      <c r="F67" s="1830"/>
      <c r="G67" s="1831"/>
      <c r="H67" s="1392">
        <v>1</v>
      </c>
      <c r="I67" s="27"/>
      <c r="J67" s="1842"/>
      <c r="K67" s="1837"/>
      <c r="L67" s="1839"/>
      <c r="M67" s="67"/>
      <c r="N67" s="590"/>
      <c r="O67" s="1844">
        <f t="shared" si="1"/>
        <v>1</v>
      </c>
      <c r="W67" s="25" t="s">
        <v>1775</v>
      </c>
    </row>
    <row r="68" spans="1:23" s="7" customFormat="1" ht="34" x14ac:dyDescent="0.2">
      <c r="A68" s="25" t="str">
        <f>BIBLE!E74</f>
        <v>PCR17</v>
      </c>
      <c r="B68" s="25" t="str">
        <f>BIBLE!F74</f>
        <v>Votre situation de coparentalité crée des désaccords entre vous et votre nouveau ou nouvelle conjoint·e.</v>
      </c>
      <c r="C68" s="1713" t="s">
        <v>1755</v>
      </c>
      <c r="D68" s="1713" t="s">
        <v>1754</v>
      </c>
      <c r="E68" s="1713" t="s">
        <v>1754</v>
      </c>
      <c r="F68" s="1713" t="s">
        <v>1754</v>
      </c>
      <c r="G68" s="1713" t="s">
        <v>1754</v>
      </c>
      <c r="H68" s="1713" t="s">
        <v>1754</v>
      </c>
      <c r="I68" s="1713" t="s">
        <v>1754</v>
      </c>
      <c r="J68" s="1713" t="s">
        <v>1754</v>
      </c>
      <c r="K68" s="1713" t="s">
        <v>1754</v>
      </c>
      <c r="L68" s="1713" t="s">
        <v>1754</v>
      </c>
      <c r="M68" s="67"/>
      <c r="N68" s="590" t="s">
        <v>1768</v>
      </c>
      <c r="O68" s="1844"/>
      <c r="W68" s="25" t="s">
        <v>1775</v>
      </c>
    </row>
    <row r="69" spans="1:23" s="7" customFormat="1" ht="34" x14ac:dyDescent="0.2">
      <c r="A69" s="25" t="str">
        <f>BIBLE!E75</f>
        <v>PCR18</v>
      </c>
      <c r="B69" s="25" t="str">
        <f>BIBLE!F75</f>
        <v>Votre nouveau ou nouvelle conjoint·e corrige votre enfant lorsqu’il est irrespectueux envers vous.</v>
      </c>
      <c r="C69" s="1713" t="s">
        <v>1755</v>
      </c>
      <c r="D69" s="1713" t="s">
        <v>1754</v>
      </c>
      <c r="E69" s="1713" t="s">
        <v>1754</v>
      </c>
      <c r="F69" s="1713" t="s">
        <v>1754</v>
      </c>
      <c r="G69" s="1713" t="s">
        <v>1754</v>
      </c>
      <c r="H69" s="1713" t="s">
        <v>1754</v>
      </c>
      <c r="I69" s="1713" t="s">
        <v>1754</v>
      </c>
      <c r="J69" s="1713" t="s">
        <v>1754</v>
      </c>
      <c r="K69" s="1713" t="s">
        <v>1754</v>
      </c>
      <c r="L69" s="1713" t="s">
        <v>1754</v>
      </c>
      <c r="M69" s="67"/>
      <c r="N69" s="590" t="s">
        <v>1768</v>
      </c>
      <c r="O69" s="1844"/>
      <c r="W69" s="25" t="s">
        <v>1775</v>
      </c>
    </row>
    <row r="70" spans="1:23" s="7" customFormat="1" x14ac:dyDescent="0.2">
      <c r="A70" s="25"/>
      <c r="B70" s="25"/>
      <c r="C70" s="6"/>
      <c r="D70" s="6"/>
      <c r="E70" s="6"/>
      <c r="F70" s="6"/>
      <c r="G70" s="6"/>
      <c r="H70" s="6"/>
      <c r="I70" s="6"/>
      <c r="J70" s="6"/>
      <c r="K70" s="525"/>
      <c r="L70" s="525"/>
      <c r="M70" s="67"/>
      <c r="N70" s="590"/>
      <c r="O70" s="1844"/>
      <c r="W70" s="25"/>
    </row>
    <row r="71" spans="1:23" s="7" customFormat="1" x14ac:dyDescent="0.2">
      <c r="A71" s="25"/>
      <c r="B71" s="25"/>
      <c r="C71" s="6"/>
      <c r="D71" s="6"/>
      <c r="E71" s="6"/>
      <c r="F71" s="6"/>
      <c r="G71" s="6"/>
      <c r="H71" s="6"/>
      <c r="I71" s="6"/>
      <c r="J71" s="6"/>
      <c r="K71" s="525"/>
      <c r="L71" s="525"/>
      <c r="M71" s="67"/>
      <c r="N71" s="590"/>
      <c r="O71" s="1844"/>
      <c r="W71" s="25"/>
    </row>
    <row r="72" spans="1:23" s="7" customFormat="1" x14ac:dyDescent="0.2">
      <c r="A72" s="25"/>
      <c r="B72" s="25"/>
      <c r="C72" s="6"/>
      <c r="D72" s="6"/>
      <c r="E72" s="6"/>
      <c r="F72" s="6"/>
      <c r="G72" s="6"/>
      <c r="H72" s="6"/>
      <c r="I72" s="6"/>
      <c r="J72" s="6"/>
      <c r="K72" s="525"/>
      <c r="L72" s="525"/>
      <c r="M72" s="67"/>
      <c r="N72" s="590"/>
      <c r="O72" s="1844"/>
      <c r="W72" s="25"/>
    </row>
    <row r="73" spans="1:23" s="7" customFormat="1" x14ac:dyDescent="0.2">
      <c r="A73" s="25"/>
      <c r="B73" s="25"/>
      <c r="C73" s="6"/>
      <c r="D73" s="6"/>
      <c r="E73" s="6"/>
      <c r="F73" s="6"/>
      <c r="G73" s="6"/>
      <c r="H73" s="6"/>
      <c r="I73" s="6"/>
      <c r="J73" s="6"/>
      <c r="K73" s="525"/>
      <c r="L73" s="525"/>
      <c r="M73" s="67"/>
      <c r="N73" s="590"/>
      <c r="O73" s="1844"/>
      <c r="W73" s="25"/>
    </row>
    <row r="74" spans="1:23" s="7" customFormat="1" ht="34" x14ac:dyDescent="0.2">
      <c r="A74" s="25" t="str">
        <f>BIBLE!E80</f>
        <v>PFA00</v>
      </c>
      <c r="B74" s="25" t="str">
        <f>BIBLE!F80</f>
        <v>L'autre parent (coparent) accepte de faire des compromis afin d'assurer une bonne entente de garde.</v>
      </c>
      <c r="C74" s="1713"/>
      <c r="D74" s="1829"/>
      <c r="E74" s="1829">
        <v>1</v>
      </c>
      <c r="F74" s="1830"/>
      <c r="G74" s="1831"/>
      <c r="H74" s="1855">
        <v>1</v>
      </c>
      <c r="I74" s="27"/>
      <c r="J74" s="1842"/>
      <c r="K74" s="1837"/>
      <c r="L74" s="1839"/>
      <c r="M74" s="67"/>
      <c r="N74" s="590"/>
      <c r="O74" s="1844">
        <f t="shared" si="1"/>
        <v>2</v>
      </c>
      <c r="W74" s="25" t="s">
        <v>1778</v>
      </c>
    </row>
    <row r="75" spans="1:23" s="7" customFormat="1" ht="34" x14ac:dyDescent="0.2">
      <c r="A75" s="25" t="str">
        <f>BIBLE!E81</f>
        <v>PFA01</v>
      </c>
      <c r="B75" s="25" t="str">
        <f>BIBLE!F81</f>
        <v xml:space="preserve">Comment qualifieriez-vous la relation et le degré de complicité entre votre enfant et l'autre parent, aujourd'hui (temps présent) ? </v>
      </c>
      <c r="C75" s="1713"/>
      <c r="D75" s="1829"/>
      <c r="E75" s="1829"/>
      <c r="F75" s="1830">
        <v>1</v>
      </c>
      <c r="G75" s="1831"/>
      <c r="H75" s="1392"/>
      <c r="I75" s="27"/>
      <c r="J75" s="1842"/>
      <c r="K75" s="1837"/>
      <c r="L75" s="1839"/>
      <c r="M75" s="67"/>
      <c r="N75" s="590"/>
      <c r="O75" s="1844">
        <f t="shared" si="1"/>
        <v>1</v>
      </c>
      <c r="W75" s="25"/>
    </row>
    <row r="76" spans="1:23" s="7" customFormat="1" ht="51" x14ac:dyDescent="0.2">
      <c r="A76" s="25" t="str">
        <f>BIBLE!E82</f>
        <v>PFA02</v>
      </c>
      <c r="B76" s="25" t="str">
        <f>BIBLE!F82</f>
        <v>Selon vous, dans quelle mesure l'autre parent entretien une relation fusionnelle avec votre enfant ?</v>
      </c>
      <c r="C76" s="1713"/>
      <c r="D76" s="1829"/>
      <c r="E76" s="1829"/>
      <c r="F76" s="1830">
        <v>1</v>
      </c>
      <c r="G76" s="1831">
        <v>1</v>
      </c>
      <c r="H76" s="1392"/>
      <c r="I76" s="27"/>
      <c r="J76" s="1842"/>
      <c r="K76" s="1837"/>
      <c r="L76" s="1839"/>
      <c r="M76" s="67"/>
      <c r="N76" s="590"/>
      <c r="O76" s="1844">
        <f t="shared" si="1"/>
        <v>2</v>
      </c>
      <c r="W76" s="25" t="s">
        <v>1791</v>
      </c>
    </row>
    <row r="77" spans="1:23" s="7" customFormat="1" ht="34" x14ac:dyDescent="0.2">
      <c r="A77" s="25" t="str">
        <f>BIBLE!E83</f>
        <v>PFA02a</v>
      </c>
      <c r="B77" s="25" t="str">
        <f>BIBLE!F83</f>
        <v>Diriez-vous que la relation fusionnelle entre votre enfant et l'autre parent est consciente (intentionnelle) ou inconsciente ?</v>
      </c>
      <c r="C77" s="1713"/>
      <c r="D77" s="1829"/>
      <c r="E77" s="1829"/>
      <c r="F77" s="1830"/>
      <c r="G77" s="1831">
        <v>1</v>
      </c>
      <c r="H77" s="1392"/>
      <c r="I77" s="27"/>
      <c r="J77" s="1842"/>
      <c r="K77" s="1837"/>
      <c r="L77" s="1839"/>
      <c r="M77" s="67"/>
      <c r="N77" s="590"/>
      <c r="O77" s="1844">
        <f t="shared" si="1"/>
        <v>1</v>
      </c>
      <c r="W77" s="25" t="s">
        <v>1775</v>
      </c>
    </row>
    <row r="78" spans="1:23" s="7" customFormat="1" ht="34" x14ac:dyDescent="0.2">
      <c r="A78" s="25" t="str">
        <f>BIBLE!E84</f>
        <v>PFA03</v>
      </c>
      <c r="B78" s="25" t="str">
        <f>BIBLE!F84</f>
        <v>Selon vous, dans quelle mesure l'autre parent demande à votre enfant de garder des secrets ou de vous cacher des choses ?</v>
      </c>
      <c r="C78" s="1713"/>
      <c r="D78" s="1829"/>
      <c r="E78" s="1829"/>
      <c r="F78" s="1830"/>
      <c r="G78" s="1831"/>
      <c r="H78" s="1392">
        <v>1</v>
      </c>
      <c r="I78" s="27"/>
      <c r="J78" s="1842"/>
      <c r="K78" s="1837"/>
      <c r="L78" s="1839"/>
      <c r="M78" s="67"/>
      <c r="N78" s="590"/>
      <c r="O78" s="1844">
        <f t="shared" si="1"/>
        <v>1</v>
      </c>
      <c r="W78" s="25"/>
    </row>
    <row r="79" spans="1:23" s="7" customFormat="1" ht="17" x14ac:dyDescent="0.2">
      <c r="A79" s="25" t="str">
        <f>BIBLE!E85</f>
        <v>PFA04</v>
      </c>
      <c r="B79" s="25" t="str">
        <f>BIBLE!F85</f>
        <v>L’autre parent laisse entendre à votre enfant que vous avez abandonné la famille.</v>
      </c>
      <c r="C79" s="1713"/>
      <c r="D79" s="1829"/>
      <c r="E79" s="1829"/>
      <c r="F79" s="1830"/>
      <c r="G79" s="1831"/>
      <c r="H79" s="1392">
        <v>1</v>
      </c>
      <c r="I79" s="27"/>
      <c r="J79" s="1842"/>
      <c r="K79" s="1837"/>
      <c r="L79" s="1839"/>
      <c r="M79" s="67"/>
      <c r="N79" s="590"/>
      <c r="O79" s="1844">
        <f t="shared" ref="O79:O116" si="2">C79+D79+E79+F79+G79+H79+I79+J79+K79+L79</f>
        <v>1</v>
      </c>
      <c r="W79" s="25" t="s">
        <v>1775</v>
      </c>
    </row>
    <row r="80" spans="1:23" s="7" customFormat="1" ht="17" x14ac:dyDescent="0.2">
      <c r="A80" s="25" t="str">
        <f>BIBLE!E86</f>
        <v>PFA04a</v>
      </c>
      <c r="B80" s="25" t="str">
        <f>BIBLE!F86</f>
        <v>L’autre parent laisse entendre à votre enfant que vous ne l’aimez pas vraiment.</v>
      </c>
      <c r="C80" s="1713"/>
      <c r="D80" s="1829"/>
      <c r="E80" s="1829"/>
      <c r="F80" s="1830"/>
      <c r="G80" s="1831"/>
      <c r="H80" s="1392">
        <v>1</v>
      </c>
      <c r="I80" s="27"/>
      <c r="J80" s="1842"/>
      <c r="K80" s="1837"/>
      <c r="L80" s="1839"/>
      <c r="M80" s="67"/>
      <c r="N80" s="590"/>
      <c r="O80" s="1844">
        <f t="shared" si="2"/>
        <v>1</v>
      </c>
      <c r="W80" s="25" t="s">
        <v>1775</v>
      </c>
    </row>
    <row r="81" spans="1:23" s="7" customFormat="1" ht="17" x14ac:dyDescent="0.2">
      <c r="A81" s="25" t="str">
        <f>BIBLE!E87</f>
        <v>PFA05</v>
      </c>
      <c r="B81" s="25" t="str">
        <f>BIBLE!F87</f>
        <v>L'autre parent laisse entendre à votre enfant qu’il ou elle n’est pas en sécurité avec vous.</v>
      </c>
      <c r="C81" s="1713"/>
      <c r="D81" s="1829"/>
      <c r="E81" s="1829"/>
      <c r="F81" s="1830"/>
      <c r="G81" s="1831"/>
      <c r="H81" s="1392">
        <v>1</v>
      </c>
      <c r="I81" s="27"/>
      <c r="J81" s="1842"/>
      <c r="K81" s="1837"/>
      <c r="L81" s="1839"/>
      <c r="M81" s="67"/>
      <c r="N81" s="590"/>
      <c r="O81" s="1844">
        <f t="shared" si="2"/>
        <v>1</v>
      </c>
      <c r="W81" s="25"/>
    </row>
    <row r="82" spans="1:23" s="7" customFormat="1" ht="51" x14ac:dyDescent="0.2">
      <c r="A82" s="25" t="str">
        <f>BIBLE!E88</f>
        <v>PFA05a</v>
      </c>
      <c r="B82" s="25" t="str">
        <f>BIBLE!F88</f>
        <v>L’autre parent laisse entendre à votre enfant que vous souffrez d’une maladie mentale ou que vous êtes instable psychologiquement.</v>
      </c>
      <c r="C82" s="1713"/>
      <c r="D82" s="1829"/>
      <c r="E82" s="1829"/>
      <c r="F82" s="1830"/>
      <c r="G82" s="1831"/>
      <c r="H82" s="1392">
        <v>1</v>
      </c>
      <c r="I82" s="27"/>
      <c r="J82" s="1842"/>
      <c r="K82" s="1837"/>
      <c r="L82" s="1839"/>
      <c r="M82" s="67"/>
      <c r="N82" s="590"/>
      <c r="O82" s="1844">
        <f t="shared" si="2"/>
        <v>1</v>
      </c>
      <c r="W82" s="25" t="s">
        <v>1792</v>
      </c>
    </row>
    <row r="83" spans="1:23" s="7" customFormat="1" ht="34" x14ac:dyDescent="0.2">
      <c r="A83" s="25" t="str">
        <f>BIBLE!E89</f>
        <v>PFA06</v>
      </c>
      <c r="B83" s="25" t="str">
        <f>BIBLE!F89</f>
        <v>L'autre parent modifie certains faits concernant votre passé à son avantage ou à votre désavantage.</v>
      </c>
      <c r="C83" s="1713"/>
      <c r="D83" s="1829"/>
      <c r="E83" s="1829"/>
      <c r="F83" s="1830"/>
      <c r="G83" s="1831"/>
      <c r="H83" s="1392">
        <v>1</v>
      </c>
      <c r="I83" s="27"/>
      <c r="J83" s="1842"/>
      <c r="K83" s="1837"/>
      <c r="L83" s="1839"/>
      <c r="M83" s="67"/>
      <c r="N83" s="590"/>
      <c r="O83" s="1844">
        <f t="shared" si="2"/>
        <v>1</v>
      </c>
      <c r="W83" s="25" t="s">
        <v>1775</v>
      </c>
    </row>
    <row r="84" spans="1:23" s="7" customFormat="1" ht="34" x14ac:dyDescent="0.2">
      <c r="A84" s="25" t="str">
        <f>BIBLE!E90</f>
        <v>PFA06a</v>
      </c>
      <c r="B84" s="25" t="str">
        <f>BIBLE!F90</f>
        <v xml:space="preserve">L'autre parent déforme les souvenirs de votre enfant (ex.: souvenirs de la petite enfance vus aujourd'hui négativement). </v>
      </c>
      <c r="C84" s="1713"/>
      <c r="D84" s="1829"/>
      <c r="E84" s="1829"/>
      <c r="F84" s="1830"/>
      <c r="G84" s="1831"/>
      <c r="H84" s="1392">
        <v>1</v>
      </c>
      <c r="I84" s="27"/>
      <c r="J84" s="1842"/>
      <c r="K84" s="1837"/>
      <c r="L84" s="1839"/>
      <c r="M84" s="67"/>
      <c r="N84" s="590"/>
      <c r="O84" s="1844">
        <f t="shared" si="2"/>
        <v>1</v>
      </c>
      <c r="W84" s="25" t="s">
        <v>1775</v>
      </c>
    </row>
    <row r="85" spans="1:23" s="7" customFormat="1" ht="17" x14ac:dyDescent="0.2">
      <c r="A85" s="25" t="str">
        <f>BIBLE!E91</f>
        <v>PFA07</v>
      </c>
      <c r="B85" s="25" t="str">
        <f>BIBLE!F91</f>
        <v>L’autre parent culpabilise votre enfant de sa relation ou de son amour pour vous.</v>
      </c>
      <c r="C85" s="1713"/>
      <c r="D85" s="1829"/>
      <c r="E85" s="1829"/>
      <c r="F85" s="1830"/>
      <c r="G85" s="1831"/>
      <c r="H85" s="1392">
        <v>1</v>
      </c>
      <c r="I85" s="27"/>
      <c r="J85" s="1842"/>
      <c r="K85" s="1837"/>
      <c r="L85" s="1839"/>
      <c r="M85" s="67"/>
      <c r="N85" s="590"/>
      <c r="O85" s="1844">
        <f t="shared" si="2"/>
        <v>1</v>
      </c>
      <c r="W85" s="25" t="s">
        <v>1775</v>
      </c>
    </row>
    <row r="86" spans="1:23" s="7" customFormat="1" ht="34" x14ac:dyDescent="0.2">
      <c r="A86" s="25" t="str">
        <f>BIBLE!E92</f>
        <v>PFA07a</v>
      </c>
      <c r="B86" s="25" t="str">
        <f>BIBLE!F92</f>
        <v>Il arrive que l’autre parent boude votre enfant lorsqu'il est temps de rentrer chez vous (pour votre tour de garde).</v>
      </c>
      <c r="C86" s="1713"/>
      <c r="D86" s="1829"/>
      <c r="E86" s="1829"/>
      <c r="F86" s="1830"/>
      <c r="G86" s="1831"/>
      <c r="H86" s="1392">
        <v>1</v>
      </c>
      <c r="I86" s="27"/>
      <c r="J86" s="1842">
        <v>1</v>
      </c>
      <c r="K86" s="1837"/>
      <c r="L86" s="1839"/>
      <c r="M86" s="67"/>
      <c r="N86" s="590"/>
      <c r="O86" s="1844">
        <f t="shared" si="2"/>
        <v>2</v>
      </c>
      <c r="W86" s="25" t="s">
        <v>1775</v>
      </c>
    </row>
    <row r="87" spans="1:23" s="7" customFormat="1" ht="34" x14ac:dyDescent="0.2">
      <c r="A87" s="25" t="str">
        <f>BIBLE!E93</f>
        <v>PFA07a1</v>
      </c>
      <c r="B87" s="25" t="str">
        <f>BIBLE!F93</f>
        <v xml:space="preserve">Il arrive à l’autre parent de se fâcher contre votre enfant lorsqu'il ou elle exprime de l'affection pour vous. </v>
      </c>
      <c r="C87" s="1713"/>
      <c r="D87" s="1829"/>
      <c r="E87" s="1829"/>
      <c r="F87" s="1830"/>
      <c r="G87" s="1831"/>
      <c r="H87" s="1392">
        <v>1</v>
      </c>
      <c r="I87" s="27"/>
      <c r="J87" s="1842">
        <v>1</v>
      </c>
      <c r="K87" s="1837"/>
      <c r="L87" s="1839"/>
      <c r="M87" s="67"/>
      <c r="N87" s="590"/>
      <c r="O87" s="1844">
        <f t="shared" si="2"/>
        <v>2</v>
      </c>
      <c r="W87" s="25"/>
    </row>
    <row r="88" spans="1:23" s="7" customFormat="1" ht="34" x14ac:dyDescent="0.2">
      <c r="A88" s="25" t="str">
        <f>BIBLE!E94</f>
        <v>PFA09</v>
      </c>
      <c r="B88" s="25" t="str">
        <f>BIBLE!F94</f>
        <v>Arrive-t-il que l'autre parent vous accable de reproches par courriel ou texto au retour des enfants (après votre tour de garde) ?</v>
      </c>
      <c r="C88" s="1713"/>
      <c r="D88" s="1829"/>
      <c r="E88" s="1829">
        <v>1</v>
      </c>
      <c r="F88" s="1830"/>
      <c r="G88" s="1831"/>
      <c r="H88" s="1392">
        <v>1</v>
      </c>
      <c r="I88" s="27"/>
      <c r="J88" s="1842"/>
      <c r="K88" s="1837"/>
      <c r="L88" s="1839"/>
      <c r="M88" s="67"/>
      <c r="N88" s="590"/>
      <c r="O88" s="1844">
        <f t="shared" si="2"/>
        <v>2</v>
      </c>
      <c r="W88" s="25" t="s">
        <v>1775</v>
      </c>
    </row>
    <row r="89" spans="1:23" s="7" customFormat="1" ht="34" x14ac:dyDescent="0.2">
      <c r="A89" s="25" t="str">
        <f>BIBLE!E95</f>
        <v>PFA09a</v>
      </c>
      <c r="B89" s="25" t="str">
        <f>BIBLE!F95</f>
        <v>Est-ce que l'autre parent fait ou a déjà fait des menaces (claires ou voilées) de vous enlever les enfants ?</v>
      </c>
      <c r="C89" s="1713"/>
      <c r="D89" s="1829"/>
      <c r="E89" s="1829"/>
      <c r="F89" s="1830"/>
      <c r="G89" s="1831">
        <v>1</v>
      </c>
      <c r="H89" s="1392"/>
      <c r="I89" s="27"/>
      <c r="J89" s="1842">
        <v>1</v>
      </c>
      <c r="K89" s="1837"/>
      <c r="L89" s="1839"/>
      <c r="M89" s="67"/>
      <c r="N89" s="590"/>
      <c r="O89" s="1844">
        <f t="shared" si="2"/>
        <v>2</v>
      </c>
      <c r="W89" s="25" t="s">
        <v>1775</v>
      </c>
    </row>
    <row r="90" spans="1:23" s="7" customFormat="1" ht="34" x14ac:dyDescent="0.2">
      <c r="A90" s="25" t="str">
        <f>BIBLE!E96</f>
        <v>PFA10</v>
      </c>
      <c r="B90" s="25" t="str">
        <f>BIBLE!F96</f>
        <v>L’autre parent vous salue lors de changements de garde, à l'école ou lors d'événements culturels ou sportifs.</v>
      </c>
      <c r="C90" s="1713"/>
      <c r="D90" s="1829"/>
      <c r="E90" s="1829">
        <v>1</v>
      </c>
      <c r="F90" s="1830"/>
      <c r="G90" s="1831"/>
      <c r="H90" s="1392">
        <v>1</v>
      </c>
      <c r="I90" s="27"/>
      <c r="J90" s="1842"/>
      <c r="K90" s="1837"/>
      <c r="L90" s="1839"/>
      <c r="M90" s="67"/>
      <c r="N90" s="590"/>
      <c r="O90" s="1844">
        <f t="shared" si="2"/>
        <v>2</v>
      </c>
      <c r="W90" s="25" t="s">
        <v>1775</v>
      </c>
    </row>
    <row r="91" spans="1:23" s="7" customFormat="1" ht="34" x14ac:dyDescent="0.2">
      <c r="A91" s="25" t="str">
        <f>BIBLE!E97</f>
        <v>PFA11</v>
      </c>
      <c r="B91" s="25" t="str">
        <f>BIBLE!F97</f>
        <v xml:space="preserve">L'autre parent est d'avis que votre enfant est assez mature pour choisir où il doit vivre et avec quel parent.  </v>
      </c>
      <c r="C91" s="1713"/>
      <c r="D91" s="1829">
        <v>1</v>
      </c>
      <c r="E91" s="1829"/>
      <c r="F91" s="1830"/>
      <c r="G91" s="1831">
        <v>1</v>
      </c>
      <c r="H91" s="1392">
        <v>1</v>
      </c>
      <c r="I91" s="27"/>
      <c r="J91" s="1842"/>
      <c r="K91" s="1837"/>
      <c r="L91" s="1839"/>
      <c r="M91" s="67"/>
      <c r="N91" s="590"/>
      <c r="O91" s="1844">
        <f t="shared" si="2"/>
        <v>3</v>
      </c>
      <c r="W91" s="25" t="s">
        <v>1775</v>
      </c>
    </row>
    <row r="92" spans="1:23" s="7" customFormat="1" ht="34" x14ac:dyDescent="0.2">
      <c r="A92" s="25" t="str">
        <f>BIBLE!E98</f>
        <v>PFA11a</v>
      </c>
      <c r="B92" s="25" t="str">
        <f>BIBLE!F98</f>
        <v>Est-ce que l'autre parent vous demande de respecter les désirs et les choix de votre enfant ?</v>
      </c>
      <c r="C92" s="1713"/>
      <c r="D92" s="1829"/>
      <c r="E92" s="1829"/>
      <c r="F92" s="1830"/>
      <c r="G92" s="1831">
        <v>1</v>
      </c>
      <c r="H92" s="1392">
        <v>1</v>
      </c>
      <c r="I92" s="27"/>
      <c r="J92" s="1842"/>
      <c r="K92" s="1837"/>
      <c r="L92" s="1839"/>
      <c r="M92" s="67"/>
      <c r="N92" s="590"/>
      <c r="O92" s="1844">
        <f t="shared" si="2"/>
        <v>2</v>
      </c>
      <c r="W92" s="25" t="s">
        <v>1775</v>
      </c>
    </row>
    <row r="93" spans="1:23" s="7" customFormat="1" ht="34" x14ac:dyDescent="0.2">
      <c r="A93" s="25" t="str">
        <f>BIBLE!E99</f>
        <v>PFA12</v>
      </c>
      <c r="B93" s="25" t="str">
        <f>BIBLE!F99</f>
        <v>L'autre parent questionne votre enfant à son retour de garde afin de connaître la routine (repas, dodo, activités, etc.) chez vous.</v>
      </c>
      <c r="C93" s="1713"/>
      <c r="D93" s="1829"/>
      <c r="E93" s="1829">
        <v>1</v>
      </c>
      <c r="F93" s="1830"/>
      <c r="G93" s="1831"/>
      <c r="H93" s="1392"/>
      <c r="I93" s="27"/>
      <c r="J93" s="1842"/>
      <c r="K93" s="1837"/>
      <c r="L93" s="1839"/>
      <c r="M93" s="67"/>
      <c r="N93" s="590"/>
      <c r="O93" s="1844">
        <f t="shared" si="2"/>
        <v>1</v>
      </c>
      <c r="W93" s="25"/>
    </row>
    <row r="94" spans="1:23" s="7" customFormat="1" ht="17" x14ac:dyDescent="0.2">
      <c r="A94" s="25" t="str">
        <f>BIBLE!E100</f>
        <v>PFA13</v>
      </c>
      <c r="B94" s="25" t="str">
        <f>BIBLE!F100</f>
        <v>L’autre parent vous dénigre en la présence de votre enfant.</v>
      </c>
      <c r="C94" s="1713"/>
      <c r="D94" s="1829"/>
      <c r="E94" s="1829">
        <v>1</v>
      </c>
      <c r="F94" s="1830">
        <v>1</v>
      </c>
      <c r="G94" s="1831"/>
      <c r="H94" s="1392">
        <v>1</v>
      </c>
      <c r="I94" s="27"/>
      <c r="J94" s="1842"/>
      <c r="K94" s="1837"/>
      <c r="L94" s="1839"/>
      <c r="M94" s="67"/>
      <c r="N94" s="590"/>
      <c r="O94" s="1844">
        <f t="shared" si="2"/>
        <v>3</v>
      </c>
      <c r="W94" s="25" t="s">
        <v>1775</v>
      </c>
    </row>
    <row r="95" spans="1:23" s="7" customFormat="1" ht="34" x14ac:dyDescent="0.2">
      <c r="A95" s="25" t="str">
        <f>BIBLE!E101</f>
        <v>PFA13a</v>
      </c>
      <c r="B95" s="25" t="str">
        <f>BIBLE!F101</f>
        <v>L'autre parent vous renvoie une image négative de vous-même en tant que parent, ridiculise vos décisions ou vous insulte.</v>
      </c>
      <c r="C95" s="1713"/>
      <c r="D95" s="1829"/>
      <c r="E95" s="1829"/>
      <c r="F95" s="1830"/>
      <c r="G95" s="1831"/>
      <c r="H95" s="1392"/>
      <c r="I95" s="27"/>
      <c r="J95" s="1842">
        <v>1</v>
      </c>
      <c r="K95" s="1837"/>
      <c r="L95" s="1839"/>
      <c r="M95" s="67"/>
      <c r="N95" s="590"/>
      <c r="O95" s="1844">
        <f t="shared" si="2"/>
        <v>1</v>
      </c>
      <c r="W95" s="25" t="s">
        <v>1775</v>
      </c>
    </row>
    <row r="96" spans="1:23" s="7" customFormat="1" ht="34" x14ac:dyDescent="0.2">
      <c r="A96" s="25" t="str">
        <f>BIBLE!E102</f>
        <v>PFA13b</v>
      </c>
      <c r="B96" s="25" t="str">
        <f>BIBLE!F102</f>
        <v>Est-ce que l'autre parent fait ou a déjà fait des menaces (claires ou voilées) de vous enlever les enfants ?</v>
      </c>
      <c r="C96" s="1713"/>
      <c r="D96" s="1829"/>
      <c r="E96" s="1829"/>
      <c r="F96" s="1830"/>
      <c r="G96" s="1831"/>
      <c r="H96" s="1392"/>
      <c r="I96" s="27"/>
      <c r="J96" s="1842">
        <v>1</v>
      </c>
      <c r="K96" s="1837"/>
      <c r="L96" s="1839"/>
      <c r="M96" s="67"/>
      <c r="N96" s="590"/>
      <c r="O96" s="1844">
        <f t="shared" si="2"/>
        <v>1</v>
      </c>
      <c r="W96" s="25" t="s">
        <v>1775</v>
      </c>
    </row>
    <row r="97" spans="1:23" s="7" customFormat="1" ht="34" x14ac:dyDescent="0.2">
      <c r="A97" s="25" t="str">
        <f>BIBLE!E103</f>
        <v>PFA13c</v>
      </c>
      <c r="B97" s="25" t="str">
        <f>BIBLE!F103</f>
        <v>L'autre parent présente à votre entourage une vision négative de vos compétences parentales ou de votre santé mentale.</v>
      </c>
      <c r="C97" s="1713"/>
      <c r="D97" s="1829"/>
      <c r="E97" s="1829"/>
      <c r="F97" s="1830"/>
      <c r="G97" s="1831"/>
      <c r="H97" s="1392"/>
      <c r="I97" s="27"/>
      <c r="J97" s="1842">
        <v>1</v>
      </c>
      <c r="K97" s="1837"/>
      <c r="L97" s="1839"/>
      <c r="M97" s="67"/>
      <c r="N97" s="590"/>
      <c r="O97" s="1844">
        <f t="shared" si="2"/>
        <v>1</v>
      </c>
      <c r="W97" s="25" t="s">
        <v>1775</v>
      </c>
    </row>
    <row r="98" spans="1:23" s="7" customFormat="1" ht="34" x14ac:dyDescent="0.2">
      <c r="A98" s="25" t="str">
        <f>BIBLE!E104</f>
        <v>PFA14</v>
      </c>
      <c r="B98" s="25" t="str">
        <f>BIBLE!F104</f>
        <v>L’autre parent dénigre votre nouvelle famille devant votre enfant. (dénigrement de votre nouveau ou nouvelle conjoint·e ou enfant né·e d’une nouvelle union)</v>
      </c>
      <c r="C98" s="1713"/>
      <c r="D98" s="1829"/>
      <c r="E98" s="1829"/>
      <c r="F98" s="1830"/>
      <c r="G98" s="1857">
        <v>1</v>
      </c>
      <c r="H98" s="1392">
        <v>1</v>
      </c>
      <c r="I98" s="27"/>
      <c r="J98" s="1842"/>
      <c r="K98" s="1837"/>
      <c r="L98" s="1839"/>
      <c r="M98" s="67">
        <v>1</v>
      </c>
      <c r="N98" s="590"/>
      <c r="O98" s="1844">
        <f t="shared" si="2"/>
        <v>2</v>
      </c>
      <c r="W98" s="25" t="s">
        <v>1775</v>
      </c>
    </row>
    <row r="99" spans="1:23" s="7" customFormat="1" ht="17" x14ac:dyDescent="0.2">
      <c r="A99" s="25" t="str">
        <f>BIBLE!E105</f>
        <v>PFA15</v>
      </c>
      <c r="B99" s="25" t="str">
        <f>BIBLE!F105</f>
        <v>L'autre parent laisse entendre qu'il ou elle représente la vraie famille de votre enfant.</v>
      </c>
      <c r="C99" s="1713"/>
      <c r="D99" s="1829"/>
      <c r="E99" s="1829"/>
      <c r="F99" s="1830"/>
      <c r="G99" s="1831">
        <v>1</v>
      </c>
      <c r="H99" s="1392">
        <v>1</v>
      </c>
      <c r="I99" s="27"/>
      <c r="J99" s="1842"/>
      <c r="K99" s="1837"/>
      <c r="L99" s="1839"/>
      <c r="M99" s="67">
        <v>1</v>
      </c>
      <c r="N99" s="590"/>
      <c r="O99" s="1844">
        <f t="shared" si="2"/>
        <v>2</v>
      </c>
      <c r="W99" s="25" t="s">
        <v>1775</v>
      </c>
    </row>
    <row r="100" spans="1:23" s="7" customFormat="1" ht="34" x14ac:dyDescent="0.2">
      <c r="A100" s="25" t="str">
        <f>BIBLE!E106</f>
        <v>PFA15a</v>
      </c>
      <c r="B100" s="25" t="str">
        <f>BIBLE!F106</f>
        <v>L'autre parent demande à votre enfant d'appeler son nouveau ou nouvelle conjoint·e maman ou papa.</v>
      </c>
      <c r="C100" s="1713"/>
      <c r="D100" s="1829"/>
      <c r="E100" s="1829"/>
      <c r="F100" s="1830"/>
      <c r="G100" s="1831">
        <v>1</v>
      </c>
      <c r="H100" s="1392">
        <v>1</v>
      </c>
      <c r="I100" s="27"/>
      <c r="J100" s="1842"/>
      <c r="K100" s="1837"/>
      <c r="L100" s="1839"/>
      <c r="M100" s="67"/>
      <c r="N100" s="590"/>
      <c r="O100" s="1844">
        <f t="shared" si="2"/>
        <v>2</v>
      </c>
      <c r="W100" s="25" t="s">
        <v>1775</v>
      </c>
    </row>
    <row r="101" spans="1:23" s="7" customFormat="1" ht="34" x14ac:dyDescent="0.2">
      <c r="A101" s="25" t="str">
        <f>BIBLE!E107</f>
        <v>PFA16</v>
      </c>
      <c r="B101" s="25" t="str">
        <f>BIBLE!F107</f>
        <v>L'autre parent impose des changements d’horaires sans vous consulter au préalable et sans votre autorisation.</v>
      </c>
      <c r="C101" s="1713"/>
      <c r="D101" s="1829">
        <v>1</v>
      </c>
      <c r="E101" s="1829"/>
      <c r="F101" s="1830"/>
      <c r="G101" s="1831"/>
      <c r="H101" s="1392">
        <v>1</v>
      </c>
      <c r="I101" s="27"/>
      <c r="J101" s="1842"/>
      <c r="K101" s="1837"/>
      <c r="L101" s="1839"/>
      <c r="M101" s="67"/>
      <c r="N101" s="590"/>
      <c r="O101" s="1844">
        <f t="shared" si="2"/>
        <v>2</v>
      </c>
      <c r="W101" s="25" t="s">
        <v>1775</v>
      </c>
    </row>
    <row r="102" spans="1:23" s="7" customFormat="1" ht="34" x14ac:dyDescent="0.2">
      <c r="A102" s="25" t="str">
        <f>BIBLE!E108</f>
        <v>PFA16a</v>
      </c>
      <c r="B102" s="25" t="str">
        <f>BIBLE!F108</f>
        <v>Arrive-t-il que l'autre parent ramène votre enfant à la maison à l'heure qui lui convient, sans respecter l'entente initiale ?</v>
      </c>
      <c r="C102" s="1713"/>
      <c r="D102" s="1829"/>
      <c r="E102" s="1829"/>
      <c r="F102" s="1830"/>
      <c r="G102" s="1831"/>
      <c r="H102" s="1392">
        <v>1</v>
      </c>
      <c r="I102" s="27"/>
      <c r="J102" s="1842"/>
      <c r="K102" s="1837"/>
      <c r="L102" s="1839"/>
      <c r="M102" s="67"/>
      <c r="N102" s="590"/>
      <c r="O102" s="1844">
        <f t="shared" si="2"/>
        <v>1</v>
      </c>
      <c r="W102" s="25" t="s">
        <v>1775</v>
      </c>
    </row>
    <row r="103" spans="1:23" s="7" customFormat="1" ht="34" x14ac:dyDescent="0.2">
      <c r="A103" s="25" t="str">
        <f>BIBLE!E109</f>
        <v>PFA16b</v>
      </c>
      <c r="B103" s="25" t="str">
        <f>BIBLE!F109</f>
        <v>Arrive-t-il que l’autre parent organise et propose des activités à votre enfant sur votre temps de garde ?</v>
      </c>
      <c r="C103" s="1713"/>
      <c r="D103" s="1829"/>
      <c r="E103" s="1829"/>
      <c r="F103" s="1830"/>
      <c r="G103" s="1831"/>
      <c r="H103" s="1392">
        <v>1</v>
      </c>
      <c r="I103" s="27"/>
      <c r="J103" s="1842"/>
      <c r="K103" s="1837"/>
      <c r="L103" s="1839"/>
      <c r="M103" s="67"/>
      <c r="N103" s="590"/>
      <c r="O103" s="1844">
        <f t="shared" si="2"/>
        <v>1</v>
      </c>
      <c r="W103" s="25" t="s">
        <v>1775</v>
      </c>
    </row>
    <row r="104" spans="1:23" s="7" customFormat="1" ht="34" x14ac:dyDescent="0.2">
      <c r="A104" s="25" t="str">
        <f>BIBLE!E110</f>
        <v>PFA16b1</v>
      </c>
      <c r="B104" s="25" t="str">
        <f>BIBLE!F110</f>
        <v>Arrive-t-il que l’autre parent organise et propose des activités amusantes, voire irrésistibles à votre enfant durant votre temps de garde ?</v>
      </c>
      <c r="C104" s="1713"/>
      <c r="D104" s="1829"/>
      <c r="E104" s="1829"/>
      <c r="F104" s="1830"/>
      <c r="G104" s="1831">
        <v>1</v>
      </c>
      <c r="H104" s="1392">
        <v>1</v>
      </c>
      <c r="I104" s="27"/>
      <c r="J104" s="1842"/>
      <c r="K104" s="1837"/>
      <c r="L104" s="1839"/>
      <c r="M104" s="67"/>
      <c r="N104" s="590"/>
      <c r="O104" s="1844">
        <f t="shared" si="2"/>
        <v>2</v>
      </c>
      <c r="W104" s="25" t="s">
        <v>1775</v>
      </c>
    </row>
    <row r="105" spans="1:23" s="7" customFormat="1" ht="34" x14ac:dyDescent="0.2">
      <c r="A105" s="25" t="str">
        <f>BIBLE!E111</f>
        <v>PFA17</v>
      </c>
      <c r="B105" s="25" t="str">
        <f>BIBLE!F111</f>
        <v>L’autre parent se présente à la sortie des classes, au service de garde ou à la garderie sur votre temps de garde.</v>
      </c>
      <c r="C105" s="1713">
        <v>1</v>
      </c>
      <c r="D105" s="1829"/>
      <c r="E105" s="1829"/>
      <c r="F105" s="1830"/>
      <c r="G105" s="1831"/>
      <c r="H105" s="1392"/>
      <c r="I105" s="27"/>
      <c r="J105" s="1842"/>
      <c r="K105" s="1837"/>
      <c r="L105" s="1839"/>
      <c r="M105" s="67"/>
      <c r="N105" s="590"/>
      <c r="O105" s="1844">
        <f t="shared" si="2"/>
        <v>1</v>
      </c>
      <c r="W105" s="25" t="s">
        <v>1775</v>
      </c>
    </row>
    <row r="106" spans="1:23" s="7" customFormat="1" ht="34" x14ac:dyDescent="0.2">
      <c r="A106" s="25" t="str">
        <f>BIBLE!E112</f>
        <v>PFA18</v>
      </c>
      <c r="B106" s="25" t="str">
        <f>BIBLE!F112</f>
        <v>À quelle fréquence l’autre parent communique-t-il ou elle avec votre enfant durant votre temps de garde ? (tél., textos, réseaux sociaux, etc.)</v>
      </c>
      <c r="C106" s="1713"/>
      <c r="D106" s="1829"/>
      <c r="E106" s="1829"/>
      <c r="F106" s="1830"/>
      <c r="G106" s="1831"/>
      <c r="H106" s="1392">
        <v>1</v>
      </c>
      <c r="I106" s="27"/>
      <c r="J106" s="1842"/>
      <c r="K106" s="1837"/>
      <c r="L106" s="1839"/>
      <c r="M106" s="67"/>
      <c r="N106" s="590"/>
      <c r="O106" s="1844">
        <f t="shared" si="2"/>
        <v>1</v>
      </c>
      <c r="W106" s="25" t="s">
        <v>1775</v>
      </c>
    </row>
    <row r="107" spans="1:23" s="7" customFormat="1" ht="34" x14ac:dyDescent="0.2">
      <c r="A107" s="25" t="str">
        <f>BIBLE!E113</f>
        <v>PFA19</v>
      </c>
      <c r="B107" s="25" t="str">
        <f>BIBLE!F113</f>
        <v>L'autre parent vous communique les informations médicales, scolaires et liées aux activités sociales ou sportives de votre enfant.</v>
      </c>
      <c r="C107" s="1713"/>
      <c r="D107" s="1829"/>
      <c r="E107" s="1829"/>
      <c r="F107" s="1830"/>
      <c r="G107" s="1831">
        <v>1</v>
      </c>
      <c r="H107" s="1392"/>
      <c r="I107" s="27"/>
      <c r="J107" s="1842"/>
      <c r="K107" s="1837"/>
      <c r="L107" s="1839"/>
      <c r="M107" s="67">
        <v>1</v>
      </c>
      <c r="N107" s="590"/>
      <c r="O107" s="1844">
        <f t="shared" si="2"/>
        <v>1</v>
      </c>
      <c r="W107" s="25" t="s">
        <v>1775</v>
      </c>
    </row>
    <row r="108" spans="1:23" s="7" customFormat="1" ht="34" x14ac:dyDescent="0.2">
      <c r="A108" s="25" t="str">
        <f>BIBLE!E114</f>
        <v>PFA19a</v>
      </c>
      <c r="B108" s="25" t="str">
        <f>BIBLE!F114</f>
        <v>L'autre parent demande aux personnes gravitant autour de votre enfant (profs, médecins, entraîneurs, etc.) de ne PAS vous communiquer de l'information à son sujet.</v>
      </c>
      <c r="C108" s="1713"/>
      <c r="D108" s="1829"/>
      <c r="E108" s="1829"/>
      <c r="F108" s="1830"/>
      <c r="G108" s="1831">
        <v>1</v>
      </c>
      <c r="H108" s="1392"/>
      <c r="I108" s="27"/>
      <c r="J108" s="1842"/>
      <c r="K108" s="1837"/>
      <c r="L108" s="1839"/>
      <c r="M108" s="67">
        <v>1</v>
      </c>
      <c r="N108" s="590"/>
      <c r="O108" s="1844">
        <f t="shared" si="2"/>
        <v>1</v>
      </c>
      <c r="W108" s="25" t="s">
        <v>1775</v>
      </c>
    </row>
    <row r="109" spans="1:23" s="7" customFormat="1" ht="17" x14ac:dyDescent="0.2">
      <c r="A109" s="25" t="str">
        <f>BIBLE!E115</f>
        <v>PFA20</v>
      </c>
      <c r="B109" s="25" t="str">
        <f>BIBLE!F115</f>
        <v>Il est facile de communiquer avec votre enfant lorsqu’il est chez l’autre parent.</v>
      </c>
      <c r="C109" s="1713"/>
      <c r="D109" s="1829"/>
      <c r="E109" s="1829"/>
      <c r="F109" s="1830"/>
      <c r="G109" s="1831"/>
      <c r="H109" s="1392">
        <v>1</v>
      </c>
      <c r="I109" s="27"/>
      <c r="J109" s="1842"/>
      <c r="K109" s="1837"/>
      <c r="L109" s="1839"/>
      <c r="M109" s="67"/>
      <c r="N109" s="590"/>
      <c r="O109" s="1844">
        <f t="shared" si="2"/>
        <v>1</v>
      </c>
      <c r="W109" s="25" t="s">
        <v>1775</v>
      </c>
    </row>
    <row r="110" spans="1:23" s="7" customFormat="1" ht="34" x14ac:dyDescent="0.2">
      <c r="A110" s="25" t="str">
        <f>BIBLE!E116</f>
        <v>PFA20a</v>
      </c>
      <c r="B110" s="25" t="str">
        <f>BIBLE!F116</f>
        <v>Arrive-t-il que l'autre parent contrôle, écoute ou écourte vos conversations téléphoniques avec votre enfant (lors de son tour de garde) ?</v>
      </c>
      <c r="C110" s="1713"/>
      <c r="D110" s="1829"/>
      <c r="E110" s="1829"/>
      <c r="F110" s="1830"/>
      <c r="G110" s="1831"/>
      <c r="H110" s="1392">
        <v>1</v>
      </c>
      <c r="I110" s="27"/>
      <c r="J110" s="1842"/>
      <c r="K110" s="1837"/>
      <c r="L110" s="1839"/>
      <c r="M110" s="67"/>
      <c r="N110" s="590"/>
      <c r="O110" s="1844">
        <f t="shared" si="2"/>
        <v>1</v>
      </c>
      <c r="W110" s="25" t="s">
        <v>1775</v>
      </c>
    </row>
    <row r="111" spans="1:23" s="7" customFormat="1" ht="34" x14ac:dyDescent="0.2">
      <c r="A111" s="25" t="str">
        <f>BIBLE!E117</f>
        <v>PFA20a1</v>
      </c>
      <c r="B111" s="25" t="str">
        <f>BIBLE!F117</f>
        <v>Arrive-t-il que l'autre parent vous accable de questions ou de reproches par téléphone ou par courriel?</v>
      </c>
      <c r="C111" s="1858"/>
      <c r="D111" s="1829"/>
      <c r="E111" s="1829"/>
      <c r="F111" s="1830"/>
      <c r="G111" s="1831"/>
      <c r="H111" s="1392"/>
      <c r="I111" s="27"/>
      <c r="J111" s="1842">
        <v>1</v>
      </c>
      <c r="K111" s="1837"/>
      <c r="L111" s="1839"/>
      <c r="M111" s="67"/>
      <c r="N111" s="590"/>
      <c r="O111" s="1844">
        <f t="shared" si="2"/>
        <v>1</v>
      </c>
      <c r="W111" s="25" t="s">
        <v>1775</v>
      </c>
    </row>
    <row r="112" spans="1:23" s="7" customFormat="1" ht="34" x14ac:dyDescent="0.2">
      <c r="A112" s="25" t="str">
        <f>BIBLE!E118</f>
        <v>PFA20a1a</v>
      </c>
      <c r="B112" s="25" t="str">
        <f>BIBLE!F118</f>
        <v>Arrive-t-il que l'autre parent se présente à votre lieu de travail ou votre domicile sans s'annoncer ou sans invitation ?</v>
      </c>
      <c r="C112" s="1713"/>
      <c r="D112" s="1829"/>
      <c r="E112" s="1829"/>
      <c r="F112" s="1830"/>
      <c r="G112" s="1831"/>
      <c r="H112" s="1392"/>
      <c r="I112" s="27"/>
      <c r="J112" s="1842">
        <v>1</v>
      </c>
      <c r="K112" s="1837"/>
      <c r="L112" s="1839"/>
      <c r="M112" s="67"/>
      <c r="N112" s="590"/>
      <c r="O112" s="1844">
        <f t="shared" si="2"/>
        <v>1</v>
      </c>
      <c r="W112" s="25" t="s">
        <v>1775</v>
      </c>
    </row>
    <row r="113" spans="1:23" s="7" customFormat="1" ht="34" x14ac:dyDescent="0.2">
      <c r="A113" s="25" t="str">
        <f>BIBLE!E119</f>
        <v>PFA21</v>
      </c>
      <c r="B113" s="25" t="str">
        <f>BIBLE!F119</f>
        <v xml:space="preserve">Dans quelle mesure diriez-vous que l'autre parent vous considère comme étant son égal·e sur le plan parental ? </v>
      </c>
      <c r="C113" s="1713"/>
      <c r="D113" s="1829">
        <v>1</v>
      </c>
      <c r="E113" s="1829"/>
      <c r="F113" s="1830">
        <v>1</v>
      </c>
      <c r="G113" s="1831"/>
      <c r="H113" s="1392"/>
      <c r="I113" s="27"/>
      <c r="J113" s="1842"/>
      <c r="K113" s="1837"/>
      <c r="L113" s="1839"/>
      <c r="M113" s="67"/>
      <c r="N113" s="590"/>
      <c r="O113" s="1844">
        <f t="shared" si="2"/>
        <v>2</v>
      </c>
      <c r="W113" s="25" t="s">
        <v>1793</v>
      </c>
    </row>
    <row r="114" spans="1:23" s="7" customFormat="1" ht="17" x14ac:dyDescent="0.2">
      <c r="A114" s="25" t="str">
        <f>BIBLE!E120</f>
        <v>PFA40</v>
      </c>
      <c r="B114" s="25" t="str">
        <f>BIBLE!F120</f>
        <v>L'autre parent sent qu’il est en compétition avec vous pour l’amour de votre enfant.</v>
      </c>
      <c r="C114" s="1713"/>
      <c r="D114" s="1859">
        <v>0</v>
      </c>
      <c r="E114" s="1829"/>
      <c r="F114" s="1830"/>
      <c r="G114" s="1831"/>
      <c r="H114" s="1854"/>
      <c r="I114" s="1860">
        <v>1</v>
      </c>
      <c r="J114" s="1842"/>
      <c r="K114" s="1837"/>
      <c r="L114" s="1839"/>
      <c r="M114" s="67"/>
      <c r="N114" s="590"/>
      <c r="O114" s="1844">
        <f t="shared" si="2"/>
        <v>1</v>
      </c>
      <c r="W114" s="25" t="s">
        <v>1775</v>
      </c>
    </row>
    <row r="115" spans="1:23" s="7" customFormat="1" ht="34" x14ac:dyDescent="0.2">
      <c r="A115" s="25" t="str">
        <f>BIBLE!E121</f>
        <v>PFA22</v>
      </c>
      <c r="B115" s="25" t="str">
        <f>BIBLE!F121</f>
        <v>Dans quelle mesure diriez-vous que l'autre parent accepte ou vit bien avec les exigences de la coparentalité (logistique horaire, transport, vacances, etc.) ?</v>
      </c>
      <c r="C115" s="1713"/>
      <c r="D115" s="1829">
        <v>1</v>
      </c>
      <c r="E115" s="1829"/>
      <c r="F115" s="1830"/>
      <c r="G115" s="1831"/>
      <c r="H115" s="1392"/>
      <c r="I115" s="27"/>
      <c r="J115" s="1842"/>
      <c r="K115" s="1837"/>
      <c r="L115" s="1839"/>
      <c r="M115" s="67"/>
      <c r="N115" s="590"/>
      <c r="O115" s="1844">
        <f t="shared" si="2"/>
        <v>1</v>
      </c>
      <c r="W115" s="25" t="s">
        <v>1775</v>
      </c>
    </row>
    <row r="116" spans="1:23" s="7" customFormat="1" ht="17" x14ac:dyDescent="0.2">
      <c r="A116" s="25" t="str">
        <f>BIBLE!E122</f>
        <v>PFA23</v>
      </c>
      <c r="B116" s="25" t="str">
        <f>BIBLE!F122</f>
        <v>L'identité et la valeur sociale de l'autre parent passe par sa paternité ou sa maternité.</v>
      </c>
      <c r="C116" s="1713"/>
      <c r="D116" s="1829"/>
      <c r="E116" s="1829"/>
      <c r="F116" s="1861">
        <v>0</v>
      </c>
      <c r="G116" s="1856">
        <v>1</v>
      </c>
      <c r="H116" s="1392"/>
      <c r="I116" s="27"/>
      <c r="J116" s="1842"/>
      <c r="K116" s="1837"/>
      <c r="L116" s="1839"/>
      <c r="M116" s="67"/>
      <c r="N116" s="590"/>
      <c r="O116" s="1844">
        <f t="shared" si="2"/>
        <v>1</v>
      </c>
      <c r="W116" s="25" t="s">
        <v>1775</v>
      </c>
    </row>
    <row r="117" spans="1:23" s="7" customFormat="1" ht="34" x14ac:dyDescent="0.2">
      <c r="A117" s="25" t="str">
        <f>BIBLE!E123</f>
        <v>PFA23a</v>
      </c>
      <c r="B117" s="25" t="str">
        <f>BIBLE!F123</f>
        <v xml:space="preserve">Arrive-t-il que l'autre parent s'impose sa présence lors de fêtes ou d'activités destinés aux enfants ? </v>
      </c>
      <c r="C117" s="449"/>
      <c r="D117" s="449"/>
      <c r="E117" s="449"/>
      <c r="F117" s="449"/>
      <c r="G117" s="449"/>
      <c r="H117" s="449"/>
      <c r="I117" s="449"/>
      <c r="J117" s="449"/>
      <c r="K117" s="1850"/>
      <c r="L117" s="1850"/>
      <c r="M117" s="67" t="s">
        <v>1758</v>
      </c>
      <c r="N117" s="590"/>
      <c r="O117" s="1844"/>
      <c r="W117" s="25"/>
    </row>
    <row r="118" spans="1:23" s="7" customFormat="1" ht="34" x14ac:dyDescent="0.2">
      <c r="A118" s="25" t="str">
        <f>BIBLE!E124</f>
        <v>PFA24</v>
      </c>
      <c r="B118" s="25" t="str">
        <f>BIBLE!F124</f>
        <v>Depuis la séparation, l’autre parent cherche à vous blesser parce qu'il considère que vous avez brisé ou abandonné la famille.</v>
      </c>
      <c r="C118" s="1713">
        <v>1</v>
      </c>
      <c r="D118" s="1829"/>
      <c r="E118" s="1829"/>
      <c r="F118" s="1830"/>
      <c r="G118" s="1831"/>
      <c r="H118" s="1392"/>
      <c r="I118" s="27"/>
      <c r="J118" s="1842"/>
      <c r="K118" s="1837"/>
      <c r="L118" s="1839"/>
      <c r="M118" s="67"/>
      <c r="N118" s="590"/>
      <c r="O118" s="1844">
        <f>C118+D118+E118+F118+G118+H118+I118+J118+K118+L118</f>
        <v>1</v>
      </c>
      <c r="W118" s="25" t="s">
        <v>1775</v>
      </c>
    </row>
    <row r="119" spans="1:23" s="7" customFormat="1" ht="17" x14ac:dyDescent="0.2">
      <c r="A119" s="25" t="str">
        <f>BIBLE!E125</f>
        <v>PFA25</v>
      </c>
      <c r="B119" s="25" t="str">
        <f>BIBLE!F125</f>
        <v>L'autre parent vous appelle par votre prénom devant votre enfant (versus maman ou papa).</v>
      </c>
      <c r="C119" s="1829"/>
      <c r="D119" s="1829"/>
      <c r="E119" s="1829"/>
      <c r="F119" s="1829"/>
      <c r="G119" s="1829"/>
      <c r="H119" s="1829"/>
      <c r="I119" s="1829"/>
      <c r="J119" s="1829"/>
      <c r="K119" s="1843"/>
      <c r="L119" s="1843"/>
      <c r="M119" s="67"/>
      <c r="N119" s="590"/>
      <c r="O119" s="1844"/>
      <c r="W119" s="25" t="s">
        <v>1775</v>
      </c>
    </row>
    <row r="120" spans="1:23" s="7" customFormat="1" ht="34" x14ac:dyDescent="0.2">
      <c r="A120" s="25" t="str">
        <f>BIBLE!E126</f>
        <v>PFA25a</v>
      </c>
      <c r="B120" s="25" t="str">
        <f>BIBLE!F126</f>
        <v>Cette façon de s'adresser à vous devant votre enfant (prénom versus maman ou papa) est-elle habituelle ou est-ce nouveau depuis la séparation ?</v>
      </c>
      <c r="C120" s="1713">
        <v>1</v>
      </c>
      <c r="D120" s="1829"/>
      <c r="E120" s="1829"/>
      <c r="F120" s="1830"/>
      <c r="G120" s="1831">
        <v>1</v>
      </c>
      <c r="H120" s="1392"/>
      <c r="I120" s="27"/>
      <c r="J120" s="1842"/>
      <c r="K120" s="1837"/>
      <c r="L120" s="1839"/>
      <c r="M120" s="67"/>
      <c r="N120" s="590"/>
      <c r="O120" s="1844">
        <f t="shared" ref="O120:O125" si="3">C120+D120+E120+F120+G120+H120+I120+J120+K120+L120</f>
        <v>2</v>
      </c>
      <c r="W120" s="25" t="s">
        <v>1775</v>
      </c>
    </row>
    <row r="121" spans="1:23" s="7" customFormat="1" ht="34" x14ac:dyDescent="0.2">
      <c r="A121" s="25" t="str">
        <f>BIBLE!E127</f>
        <v>PFA26</v>
      </c>
      <c r="B121" s="25" t="str">
        <f>BIBLE!F127</f>
        <v>L’autre parent considère que son nouveau ou nouvelle conjoint·e est un meilleur parent que vous.</v>
      </c>
      <c r="C121" s="1713">
        <v>1</v>
      </c>
      <c r="D121" s="1829"/>
      <c r="E121" s="1829"/>
      <c r="F121" s="1830"/>
      <c r="G121" s="1831"/>
      <c r="H121" s="1392"/>
      <c r="I121" s="27"/>
      <c r="J121" s="1842"/>
      <c r="K121" s="1837"/>
      <c r="L121" s="1839"/>
      <c r="M121" s="67"/>
      <c r="N121" s="590"/>
      <c r="O121" s="1844">
        <f t="shared" si="3"/>
        <v>1</v>
      </c>
      <c r="W121" s="25" t="s">
        <v>1775</v>
      </c>
    </row>
    <row r="122" spans="1:23" s="7" customFormat="1" ht="34" x14ac:dyDescent="0.2">
      <c r="A122" s="25" t="str">
        <f>BIBLE!E128</f>
        <v>PFA27</v>
      </c>
      <c r="B122" s="25" t="str">
        <f>BIBLE!F128</f>
        <v>L’autre parent cherche à limiter les contacts entre votre enfant et votre famille élargie (cousin.es, grands-parents, etc.).</v>
      </c>
      <c r="C122" s="1713"/>
      <c r="D122" s="1829"/>
      <c r="E122" s="1829"/>
      <c r="F122" s="1830"/>
      <c r="G122" s="1831"/>
      <c r="H122" s="1392">
        <v>1</v>
      </c>
      <c r="I122" s="27"/>
      <c r="J122" s="1842"/>
      <c r="K122" s="1837"/>
      <c r="L122" s="1839"/>
      <c r="M122" s="67"/>
      <c r="N122" s="590"/>
      <c r="O122" s="1844">
        <f t="shared" si="3"/>
        <v>1</v>
      </c>
      <c r="W122" s="25" t="s">
        <v>1775</v>
      </c>
    </row>
    <row r="123" spans="1:23" s="7" customFormat="1" ht="34" x14ac:dyDescent="0.2">
      <c r="A123" s="25" t="str">
        <f>BIBLE!E129</f>
        <v>PFA28</v>
      </c>
      <c r="B123" s="25" t="str">
        <f>BIBLE!F129</f>
        <v xml:space="preserve">L’autre parent permet à votre enfant d'apporter des objets (jouets ou cadeaux reçus) provenant de chez vous. </v>
      </c>
      <c r="C123" s="1713"/>
      <c r="D123" s="1829"/>
      <c r="E123" s="1829">
        <v>1</v>
      </c>
      <c r="F123" s="1830"/>
      <c r="G123" s="1831"/>
      <c r="H123" s="1392">
        <v>1</v>
      </c>
      <c r="I123" s="27"/>
      <c r="J123" s="1842"/>
      <c r="K123" s="1837"/>
      <c r="L123" s="1839"/>
      <c r="M123" s="67"/>
      <c r="N123" s="590"/>
      <c r="O123" s="1844">
        <f t="shared" si="3"/>
        <v>2</v>
      </c>
      <c r="W123" s="25" t="s">
        <v>1775</v>
      </c>
    </row>
    <row r="124" spans="1:23" s="7" customFormat="1" ht="34" x14ac:dyDescent="0.2">
      <c r="A124" s="25" t="str">
        <f>BIBLE!E130</f>
        <v>PFA28a</v>
      </c>
      <c r="B124" s="25" t="str">
        <f>BIBLE!F130</f>
        <v xml:space="preserve">L’autre parent jette les cadeaux que vous avez offerts à votre enfant ou proscrit les photographies de vous dans sa demeure. </v>
      </c>
      <c r="C124" s="1713"/>
      <c r="D124" s="1829"/>
      <c r="E124" s="1829"/>
      <c r="F124" s="1830"/>
      <c r="G124" s="1856">
        <v>1</v>
      </c>
      <c r="H124" s="1392">
        <v>1</v>
      </c>
      <c r="I124" s="27"/>
      <c r="J124" s="1842"/>
      <c r="K124" s="1837"/>
      <c r="L124" s="1839"/>
      <c r="M124" s="67">
        <v>1</v>
      </c>
      <c r="N124" s="590"/>
      <c r="O124" s="1844">
        <f t="shared" si="3"/>
        <v>2</v>
      </c>
      <c r="W124" s="25" t="s">
        <v>1775</v>
      </c>
    </row>
    <row r="125" spans="1:23" s="7" customFormat="1" ht="34" x14ac:dyDescent="0.2">
      <c r="A125" s="25" t="str">
        <f>BIBLE!E131</f>
        <v>PFA39</v>
      </c>
      <c r="B125" s="25" t="str">
        <f>BIBLE!F131</f>
        <v xml:space="preserve">Dans quelle mesure est-ce que l'autre parent se dit impuissant et non responsable de la décision de votre enfant de ne plus respecter l'entente de garde ? </v>
      </c>
      <c r="C125" s="1713"/>
      <c r="D125" s="1829"/>
      <c r="E125" s="1829"/>
      <c r="F125" s="1830"/>
      <c r="G125" s="1831"/>
      <c r="H125" s="1392">
        <v>1</v>
      </c>
      <c r="I125" s="27"/>
      <c r="J125" s="1842"/>
      <c r="K125" s="1837"/>
      <c r="L125" s="1839"/>
      <c r="M125" s="67">
        <v>1</v>
      </c>
      <c r="N125" s="590"/>
      <c r="O125" s="1844">
        <f t="shared" si="3"/>
        <v>1</v>
      </c>
      <c r="W125" s="25" t="s">
        <v>1775</v>
      </c>
    </row>
    <row r="126" spans="1:23" s="7" customFormat="1" ht="17" x14ac:dyDescent="0.2">
      <c r="A126" s="25" t="str">
        <f>BIBLE!E132</f>
        <v>PFA29</v>
      </c>
      <c r="B126" s="25" t="str">
        <f>BIBLE!F132</f>
        <v>L'autre parent prend des décisions sans vous consulter.</v>
      </c>
      <c r="C126" s="1713"/>
      <c r="D126" s="1829"/>
      <c r="E126" s="1829"/>
      <c r="F126" s="1830"/>
      <c r="G126" s="1856">
        <v>1</v>
      </c>
      <c r="H126" s="1392"/>
      <c r="I126" s="27"/>
      <c r="J126" s="1842"/>
      <c r="K126" s="1837"/>
      <c r="L126" s="1839"/>
      <c r="M126" s="67"/>
      <c r="N126" s="590"/>
      <c r="O126" s="1844"/>
      <c r="W126" s="25"/>
    </row>
    <row r="127" spans="1:23" s="7" customFormat="1" ht="34" x14ac:dyDescent="0.2">
      <c r="A127" s="25" t="str">
        <f>BIBLE!E133</f>
        <v>PFA29a</v>
      </c>
      <c r="B127" s="25" t="str">
        <f>BIBLE!F133</f>
        <v>Quels types de décisions ont été prises sans votre consentement ou connaissance de votre part ?</v>
      </c>
      <c r="C127" s="1713"/>
      <c r="D127" s="1829"/>
      <c r="E127" s="1829"/>
      <c r="F127" s="1830"/>
      <c r="G127" s="1856">
        <v>0</v>
      </c>
      <c r="H127" s="1392"/>
      <c r="I127" s="27"/>
      <c r="J127" s="1842"/>
      <c r="K127" s="1837"/>
      <c r="L127" s="1839"/>
      <c r="M127" s="67"/>
      <c r="N127" s="590"/>
      <c r="O127" s="1844">
        <f t="shared" ref="O127:O141" si="4">C127+D127+E127+F127+G127+H127+I127+J127+K127+L127</f>
        <v>0</v>
      </c>
      <c r="W127" s="25" t="s">
        <v>1784</v>
      </c>
    </row>
    <row r="128" spans="1:23" s="7" customFormat="1" ht="68" x14ac:dyDescent="0.2">
      <c r="A128" s="25" t="str">
        <f>BIBLE!E134</f>
        <v>PFA29b</v>
      </c>
      <c r="B128" s="25" t="str">
        <f>BIBLE!F134</f>
        <v>Avez-vous été déchu·e (totalement ou en partie) de votre autorité parentale ?</v>
      </c>
      <c r="C128" s="1829"/>
      <c r="D128" s="1829"/>
      <c r="E128" s="1829"/>
      <c r="F128" s="1829"/>
      <c r="G128" s="1829"/>
      <c r="H128" s="1829"/>
      <c r="I128" s="1829"/>
      <c r="J128" s="1829"/>
      <c r="K128" s="1843"/>
      <c r="L128" s="1843"/>
      <c r="M128" s="67" t="s">
        <v>1759</v>
      </c>
      <c r="N128" s="590"/>
      <c r="O128" s="1844">
        <f t="shared" si="4"/>
        <v>0</v>
      </c>
      <c r="W128" s="25" t="s">
        <v>1794</v>
      </c>
    </row>
    <row r="129" spans="1:23" s="7" customFormat="1" ht="34" x14ac:dyDescent="0.2">
      <c r="A129" s="25" t="str">
        <f>BIBLE!E135</f>
        <v>PFA30</v>
      </c>
      <c r="B129" s="25" t="str">
        <f>BIBLE!F135</f>
        <v>L’autre parent incite, consciemment ou inconsciemment, votre enfant à choisir entre ses deux parents.</v>
      </c>
      <c r="C129" s="1713"/>
      <c r="D129" s="1829"/>
      <c r="E129" s="1829"/>
      <c r="F129" s="1830"/>
      <c r="G129" s="1831"/>
      <c r="H129" s="1392">
        <v>1</v>
      </c>
      <c r="I129" s="27"/>
      <c r="J129" s="1842"/>
      <c r="K129" s="1837"/>
      <c r="L129" s="1839"/>
      <c r="M129" s="67"/>
      <c r="N129" s="590"/>
      <c r="O129" s="1844">
        <f t="shared" si="4"/>
        <v>1</v>
      </c>
      <c r="W129" s="25" t="s">
        <v>1775</v>
      </c>
    </row>
    <row r="130" spans="1:23" s="7" customFormat="1" ht="17" x14ac:dyDescent="0.2">
      <c r="A130" s="25" t="str">
        <f>BIBLE!E136</f>
        <v>PFA30a</v>
      </c>
      <c r="B130" s="25" t="str">
        <f>BIBLE!F136</f>
        <v>L’autre parent cherche à vous exclure de la vie de votre enfant.</v>
      </c>
      <c r="C130" s="1713"/>
      <c r="D130" s="1829"/>
      <c r="E130" s="1829"/>
      <c r="F130" s="1830"/>
      <c r="G130" s="1831">
        <v>1</v>
      </c>
      <c r="H130" s="1392"/>
      <c r="I130" s="27"/>
      <c r="J130" s="1842"/>
      <c r="K130" s="1837"/>
      <c r="L130" s="1839"/>
      <c r="M130" s="67"/>
      <c r="N130" s="590"/>
      <c r="O130" s="1844">
        <f t="shared" si="4"/>
        <v>1</v>
      </c>
      <c r="W130" s="25" t="s">
        <v>1775</v>
      </c>
    </row>
    <row r="131" spans="1:23" s="7" customFormat="1" ht="34" x14ac:dyDescent="0.2">
      <c r="A131" s="25" t="str">
        <f>BIBLE!E137</f>
        <v>PFA30a1</v>
      </c>
      <c r="B131" s="25" t="str">
        <f>BIBLE!F137</f>
        <v>Est-ce que l'autre parent fait ou a déjà fait des menaces (claires ou voilées) de vous enlever les enfants ?</v>
      </c>
      <c r="C131" s="1713"/>
      <c r="D131" s="1829"/>
      <c r="E131" s="1829"/>
      <c r="F131" s="1830"/>
      <c r="G131" s="1831"/>
      <c r="H131" s="1392"/>
      <c r="I131" s="27"/>
      <c r="J131" s="1842">
        <v>1</v>
      </c>
      <c r="K131" s="1837"/>
      <c r="L131" s="1839"/>
      <c r="M131" s="67"/>
      <c r="N131" s="590"/>
      <c r="O131" s="1844">
        <f t="shared" si="4"/>
        <v>1</v>
      </c>
      <c r="W131" s="25" t="s">
        <v>1775</v>
      </c>
    </row>
    <row r="132" spans="1:23" s="7" customFormat="1" ht="34" x14ac:dyDescent="0.2">
      <c r="A132" s="25" t="str">
        <f>BIBLE!E138</f>
        <v>PFA30a2</v>
      </c>
      <c r="B132" s="25" t="str">
        <f>BIBLE!F138</f>
        <v>Quels sont les comportements ou attitudes qui vous laissent croire que l'autre parent cherche à vous exclure de la vie de votre enfant ?</v>
      </c>
      <c r="C132" s="1713"/>
      <c r="D132" s="1829"/>
      <c r="E132" s="1829"/>
      <c r="F132" s="1830"/>
      <c r="G132" s="1856">
        <v>0</v>
      </c>
      <c r="H132" s="1392"/>
      <c r="I132" s="27"/>
      <c r="J132" s="1842"/>
      <c r="K132" s="1837"/>
      <c r="L132" s="1839"/>
      <c r="M132" s="67"/>
      <c r="N132" s="590"/>
      <c r="O132" s="1844">
        <f t="shared" si="4"/>
        <v>0</v>
      </c>
      <c r="U132" s="7" t="s">
        <v>1769</v>
      </c>
      <c r="W132" s="25" t="s">
        <v>1795</v>
      </c>
    </row>
    <row r="133" spans="1:23" s="7" customFormat="1" ht="34" x14ac:dyDescent="0.2">
      <c r="A133" s="25" t="str">
        <f>BIBLE!E139</f>
        <v>PFA31</v>
      </c>
      <c r="B133" s="25" t="str">
        <f>BIBLE!F139</f>
        <v xml:space="preserve">Dans quelle mesure diriez-vous que l'autre parent accepte ou vit bien avec la séparation (de couple ou familiale) ? </v>
      </c>
      <c r="C133" s="1713"/>
      <c r="D133" s="1859">
        <v>1</v>
      </c>
      <c r="E133" s="1829"/>
      <c r="F133" s="1830"/>
      <c r="G133" s="1831"/>
      <c r="H133" s="1392">
        <v>1</v>
      </c>
      <c r="I133" s="27"/>
      <c r="J133" s="1842"/>
      <c r="K133" s="1837"/>
      <c r="L133" s="1839"/>
      <c r="M133" s="67"/>
      <c r="N133" s="590"/>
      <c r="O133" s="1844">
        <f t="shared" si="4"/>
        <v>2</v>
      </c>
      <c r="W133" s="25" t="s">
        <v>1775</v>
      </c>
    </row>
    <row r="134" spans="1:23" s="7" customFormat="1" ht="17" x14ac:dyDescent="0.2">
      <c r="A134" s="25" t="str">
        <f>BIBLE!E140</f>
        <v>PFA31a</v>
      </c>
      <c r="B134" s="25" t="str">
        <f>BIBLE!F140</f>
        <v>L’autre parent confie à votre enfant sa peine concernant la séparation.</v>
      </c>
      <c r="C134" s="1713"/>
      <c r="D134" s="1829"/>
      <c r="E134" s="1829"/>
      <c r="F134" s="1830"/>
      <c r="G134" s="1831"/>
      <c r="H134" s="1392">
        <v>1</v>
      </c>
      <c r="I134" s="27"/>
      <c r="J134" s="1842"/>
      <c r="K134" s="1837"/>
      <c r="L134" s="1839"/>
      <c r="M134" s="67"/>
      <c r="N134" s="590"/>
      <c r="O134" s="1844">
        <f t="shared" si="4"/>
        <v>1</v>
      </c>
      <c r="W134" s="25" t="s">
        <v>1775</v>
      </c>
    </row>
    <row r="135" spans="1:23" s="7" customFormat="1" ht="34" x14ac:dyDescent="0.2">
      <c r="A135" s="25" t="str">
        <f>BIBLE!E141</f>
        <v>PFA31a1</v>
      </c>
      <c r="B135" s="25" t="str">
        <f>BIBLE!F141</f>
        <v>Dans quelle mesure diriez-vous que l'autre parent se confie à votre enfant sur des sujets qui vous sont personnels ou qui concernent votre passé (intime) ?</v>
      </c>
      <c r="C135" s="1713"/>
      <c r="D135" s="1829"/>
      <c r="E135" s="1829"/>
      <c r="F135" s="1830"/>
      <c r="G135" s="1831"/>
      <c r="H135" s="1392">
        <v>1</v>
      </c>
      <c r="I135" s="27"/>
      <c r="J135" s="1842"/>
      <c r="K135" s="1837"/>
      <c r="L135" s="1839"/>
      <c r="M135" s="67"/>
      <c r="N135" s="590"/>
      <c r="O135" s="1844">
        <f t="shared" si="4"/>
        <v>1</v>
      </c>
      <c r="W135" s="25" t="s">
        <v>1775</v>
      </c>
    </row>
    <row r="136" spans="1:23" s="7" customFormat="1" ht="34" x14ac:dyDescent="0.2">
      <c r="A136" s="25" t="str">
        <f>BIBLE!E142</f>
        <v>PFA32</v>
      </c>
      <c r="B136" s="25" t="str">
        <f>BIBLE!F142</f>
        <v>L'autre parent fait lire vos échanges et communications (courriels, textos, etc.) à votre enfant.</v>
      </c>
      <c r="C136" s="1713"/>
      <c r="D136" s="1829"/>
      <c r="E136" s="1829">
        <v>1</v>
      </c>
      <c r="F136" s="1830"/>
      <c r="G136" s="1831"/>
      <c r="H136" s="1392">
        <v>1</v>
      </c>
      <c r="I136" s="27"/>
      <c r="J136" s="1842"/>
      <c r="K136" s="1837"/>
      <c r="L136" s="1839"/>
      <c r="M136" s="67"/>
      <c r="N136" s="590"/>
      <c r="O136" s="1844">
        <f t="shared" si="4"/>
        <v>2</v>
      </c>
      <c r="W136" s="25" t="s">
        <v>1775</v>
      </c>
    </row>
    <row r="137" spans="1:23" s="7" customFormat="1" ht="34" x14ac:dyDescent="0.2">
      <c r="A137" s="25" t="str">
        <f>BIBLE!E143</f>
        <v>PFA33</v>
      </c>
      <c r="B137" s="25" t="str">
        <f>BIBLE!F143</f>
        <v>L'autre parent encourage ou entretient un discours dénigrant ou haineux à l’égard de votre nouveau ou nouvelle conjoint·e.</v>
      </c>
      <c r="C137" s="1713"/>
      <c r="D137" s="1829"/>
      <c r="E137" s="1829"/>
      <c r="F137" s="1830"/>
      <c r="G137" s="1831"/>
      <c r="H137" s="1392">
        <v>1</v>
      </c>
      <c r="I137" s="27"/>
      <c r="J137" s="1842"/>
      <c r="K137" s="1837"/>
      <c r="L137" s="1839"/>
      <c r="M137" s="67"/>
      <c r="N137" s="590"/>
      <c r="O137" s="1844">
        <f t="shared" si="4"/>
        <v>1</v>
      </c>
      <c r="W137" s="25" t="s">
        <v>1775</v>
      </c>
    </row>
    <row r="138" spans="1:23" s="7" customFormat="1" ht="34" x14ac:dyDescent="0.2">
      <c r="A138" s="25" t="str">
        <f>BIBLE!E144</f>
        <v>PFA34</v>
      </c>
      <c r="B138" s="25" t="str">
        <f>BIBLE!F144</f>
        <v>L’autre parent refuse de vous parler et demande à votre enfant de faire les messages et autres demandes entourant la logistique familiale.</v>
      </c>
      <c r="C138" s="1713"/>
      <c r="D138" s="1829"/>
      <c r="E138" s="1829">
        <v>1</v>
      </c>
      <c r="F138" s="1830"/>
      <c r="G138" s="1831"/>
      <c r="H138" s="1392">
        <v>1</v>
      </c>
      <c r="I138" s="27"/>
      <c r="J138" s="1842"/>
      <c r="K138" s="1837"/>
      <c r="L138" s="1839"/>
      <c r="M138" s="67"/>
      <c r="N138" s="590"/>
      <c r="O138" s="1844">
        <f t="shared" si="4"/>
        <v>2</v>
      </c>
      <c r="W138" s="25" t="s">
        <v>1775</v>
      </c>
    </row>
    <row r="139" spans="1:23" s="7" customFormat="1" ht="34" x14ac:dyDescent="0.2">
      <c r="A139" s="25" t="str">
        <f>BIBLE!E145</f>
        <v>PFA35</v>
      </c>
      <c r="B139" s="25" t="str">
        <f>BIBLE!F145</f>
        <v>L’autre parent laisse à votre enfant le droit de respecter ou non l'entente de garde et votre temps (tour) de garde.</v>
      </c>
      <c r="C139" s="1713"/>
      <c r="D139" s="1829">
        <v>1</v>
      </c>
      <c r="E139" s="1829"/>
      <c r="F139" s="1830"/>
      <c r="G139" s="1831"/>
      <c r="H139" s="1392">
        <v>1</v>
      </c>
      <c r="I139" s="27"/>
      <c r="J139" s="1842"/>
      <c r="K139" s="1837"/>
      <c r="L139" s="1839"/>
      <c r="M139" s="67"/>
      <c r="N139" s="590"/>
      <c r="O139" s="1844">
        <f t="shared" si="4"/>
        <v>2</v>
      </c>
      <c r="W139" s="25" t="s">
        <v>1775</v>
      </c>
    </row>
    <row r="140" spans="1:23" s="7" customFormat="1" ht="17" x14ac:dyDescent="0.2">
      <c r="A140" s="25" t="str">
        <f>BIBLE!E146</f>
        <v>PFA36</v>
      </c>
      <c r="B140" s="25" t="str">
        <f>BIBLE!F146</f>
        <v>L’autre parent demande à votre enfant de choisir avec quel parent il veut vivre.</v>
      </c>
      <c r="C140" s="1713"/>
      <c r="D140" s="1829"/>
      <c r="E140" s="1829"/>
      <c r="F140" s="1830"/>
      <c r="G140" s="1831">
        <v>1</v>
      </c>
      <c r="H140" s="1392">
        <v>1</v>
      </c>
      <c r="I140" s="27"/>
      <c r="J140" s="1842"/>
      <c r="K140" s="1837"/>
      <c r="L140" s="1839"/>
      <c r="M140" s="67"/>
      <c r="N140" s="590"/>
      <c r="O140" s="1844">
        <f t="shared" si="4"/>
        <v>2</v>
      </c>
      <c r="W140" s="25" t="s">
        <v>1775</v>
      </c>
    </row>
    <row r="141" spans="1:23" s="7" customFormat="1" ht="34" x14ac:dyDescent="0.2">
      <c r="A141" s="25" t="str">
        <f>BIBLE!E147</f>
        <v>PFA38</v>
      </c>
      <c r="B141" s="25" t="str">
        <f>BIBLE!F147</f>
        <v>Selon vous, quels sont les enjeux les plus importants pour l'autre parent au niveau de la garde des enfants ?</v>
      </c>
      <c r="C141" s="1713"/>
      <c r="D141" s="1829"/>
      <c r="E141" s="1829"/>
      <c r="F141" s="1830"/>
      <c r="G141" s="1856">
        <v>0</v>
      </c>
      <c r="H141" s="1392"/>
      <c r="I141" s="27"/>
      <c r="J141" s="1842"/>
      <c r="K141" s="1837"/>
      <c r="L141" s="1839"/>
      <c r="M141" s="67"/>
      <c r="N141" s="590"/>
      <c r="O141" s="1844">
        <f t="shared" si="4"/>
        <v>0</v>
      </c>
      <c r="U141" s="25" t="s">
        <v>1770</v>
      </c>
      <c r="W141" s="25" t="s">
        <v>1795</v>
      </c>
    </row>
    <row r="142" spans="1:23" s="7" customFormat="1" x14ac:dyDescent="0.2">
      <c r="A142" s="25"/>
      <c r="B142" s="25"/>
      <c r="C142" s="6"/>
      <c r="D142" s="6"/>
      <c r="E142" s="6"/>
      <c r="F142" s="6"/>
      <c r="G142" s="1865"/>
      <c r="H142" s="6"/>
      <c r="I142" s="6"/>
      <c r="J142" s="6"/>
      <c r="K142" s="525"/>
      <c r="L142" s="525"/>
      <c r="M142" s="67"/>
      <c r="N142" s="590"/>
      <c r="O142" s="1844"/>
      <c r="U142" s="25"/>
      <c r="W142" s="25"/>
    </row>
    <row r="143" spans="1:23" s="7" customFormat="1" x14ac:dyDescent="0.2">
      <c r="A143" s="25"/>
      <c r="B143" s="25"/>
      <c r="C143" s="6"/>
      <c r="D143" s="6"/>
      <c r="E143" s="6"/>
      <c r="F143" s="6"/>
      <c r="G143" s="1865"/>
      <c r="H143" s="6"/>
      <c r="I143" s="6"/>
      <c r="J143" s="6"/>
      <c r="K143" s="525"/>
      <c r="L143" s="525"/>
      <c r="M143" s="67"/>
      <c r="N143" s="590"/>
      <c r="O143" s="1844"/>
      <c r="U143" s="25"/>
      <c r="W143" s="25"/>
    </row>
    <row r="144" spans="1:23" s="7" customFormat="1" x14ac:dyDescent="0.2">
      <c r="A144" s="25"/>
      <c r="B144" s="25"/>
      <c r="C144" s="6"/>
      <c r="D144" s="6"/>
      <c r="E144" s="6"/>
      <c r="F144" s="6"/>
      <c r="G144" s="6"/>
      <c r="H144" s="6"/>
      <c r="I144" s="6"/>
      <c r="J144" s="6"/>
      <c r="K144" s="525"/>
      <c r="L144" s="525"/>
      <c r="M144" s="67"/>
      <c r="N144" s="590"/>
      <c r="O144" s="1844"/>
      <c r="W144" s="25"/>
    </row>
    <row r="145" spans="1:23" s="7" customFormat="1" x14ac:dyDescent="0.2">
      <c r="A145" s="25"/>
      <c r="B145" s="25"/>
      <c r="C145" s="6"/>
      <c r="D145" s="6"/>
      <c r="E145" s="6"/>
      <c r="F145" s="6"/>
      <c r="G145" s="6"/>
      <c r="H145" s="6"/>
      <c r="I145" s="6"/>
      <c r="J145" s="6"/>
      <c r="K145" s="525"/>
      <c r="L145" s="525"/>
      <c r="M145" s="67"/>
      <c r="N145" s="590"/>
      <c r="O145" s="1844"/>
      <c r="W145" s="25"/>
    </row>
    <row r="146" spans="1:23" s="7" customFormat="1" x14ac:dyDescent="0.2">
      <c r="A146" s="25"/>
      <c r="B146" s="25"/>
      <c r="C146" s="6"/>
      <c r="D146" s="6"/>
      <c r="E146" s="6"/>
      <c r="F146" s="6"/>
      <c r="G146" s="6"/>
      <c r="H146" s="6"/>
      <c r="I146" s="6"/>
      <c r="J146" s="6"/>
      <c r="K146" s="525"/>
      <c r="L146" s="525"/>
      <c r="M146" s="67"/>
      <c r="N146" s="590"/>
      <c r="O146" s="1844"/>
      <c r="W146" s="25"/>
    </row>
    <row r="147" spans="1:23" s="7" customFormat="1" ht="34" x14ac:dyDescent="0.2">
      <c r="A147" s="25" t="str">
        <f>BIBLE!E151</f>
        <v>E01</v>
      </c>
      <c r="B147" s="25" t="str">
        <f>BIBLE!F151</f>
        <v>Comment qualifieriez-vous votre relation et votre degré de complicité avec votre enfant, aujourd’hui (temps présent) ?</v>
      </c>
      <c r="C147" s="1713"/>
      <c r="D147" s="1829"/>
      <c r="E147" s="1829"/>
      <c r="F147" s="1830">
        <v>1</v>
      </c>
      <c r="G147" s="1831"/>
      <c r="H147" s="1392"/>
      <c r="I147" s="27"/>
      <c r="J147" s="1842"/>
      <c r="K147" s="1837"/>
      <c r="L147" s="1839"/>
      <c r="M147" s="67"/>
      <c r="N147" s="590"/>
      <c r="O147" s="1844">
        <f t="shared" ref="O147:O155" si="5">C147+D147+E147+F147+G147+H147+I147+J147+K147+L147</f>
        <v>1</v>
      </c>
      <c r="W147" s="25" t="s">
        <v>1775</v>
      </c>
    </row>
    <row r="148" spans="1:23" s="7" customFormat="1" ht="51" x14ac:dyDescent="0.2">
      <c r="A148" s="25" t="str">
        <f>BIBLE!E152</f>
        <v>E02</v>
      </c>
      <c r="B148" s="25" t="str">
        <f>BIBLE!F152</f>
        <v>Dans quelle mesure diriez-vous que votre enfant idéalise (aujourd'hui) l’autre parent ?</v>
      </c>
      <c r="C148" s="1713"/>
      <c r="D148" s="1829"/>
      <c r="E148" s="1829"/>
      <c r="F148" s="1830">
        <v>1</v>
      </c>
      <c r="G148" s="1831"/>
      <c r="H148" s="1392"/>
      <c r="I148" s="27"/>
      <c r="J148" s="1842"/>
      <c r="K148" s="1837"/>
      <c r="L148" s="1839"/>
      <c r="M148" s="67"/>
      <c r="N148" s="590"/>
      <c r="O148" s="1844">
        <f t="shared" si="5"/>
        <v>1</v>
      </c>
      <c r="W148" s="25" t="s">
        <v>1791</v>
      </c>
    </row>
    <row r="149" spans="1:23" s="7" customFormat="1" ht="34" x14ac:dyDescent="0.2">
      <c r="A149" s="25" t="str">
        <f>BIBLE!E153</f>
        <v>E02a</v>
      </c>
      <c r="B149" s="25" t="str">
        <f>BIBLE!F153</f>
        <v>Dans quelle mesure diriez-vous que la relation entre votre enfant et l'autre parent est fusionnelle ?</v>
      </c>
      <c r="C149" s="1713"/>
      <c r="D149" s="1829"/>
      <c r="E149" s="1829"/>
      <c r="F149" s="1830">
        <v>1</v>
      </c>
      <c r="G149" s="1831"/>
      <c r="H149" s="1392"/>
      <c r="I149" s="27"/>
      <c r="J149" s="1842"/>
      <c r="K149" s="1837"/>
      <c r="L149" s="1839"/>
      <c r="M149" s="67"/>
      <c r="N149" s="590"/>
      <c r="O149" s="1844">
        <f t="shared" si="5"/>
        <v>1</v>
      </c>
      <c r="W149" s="25"/>
    </row>
    <row r="150" spans="1:23" s="7" customFormat="1" ht="34" x14ac:dyDescent="0.2">
      <c r="A150" s="25" t="str">
        <f>BIBLE!E154</f>
        <v>E03</v>
      </c>
      <c r="B150" s="25" t="str">
        <f>BIBLE!F154</f>
        <v>Votre enfant garde des secrets et vous cache de l'information concernant sa relation avec l'autre parent.</v>
      </c>
      <c r="C150" s="1713"/>
      <c r="D150" s="1829"/>
      <c r="E150" s="1829"/>
      <c r="F150" s="1830"/>
      <c r="G150" s="1831"/>
      <c r="H150" s="1392">
        <v>1</v>
      </c>
      <c r="I150" s="27"/>
      <c r="J150" s="1842"/>
      <c r="K150" s="1837"/>
      <c r="L150" s="1839"/>
      <c r="M150" s="67"/>
      <c r="N150" s="590"/>
      <c r="O150" s="1844">
        <f t="shared" si="5"/>
        <v>1</v>
      </c>
      <c r="W150" s="25" t="s">
        <v>1775</v>
      </c>
    </row>
    <row r="151" spans="1:23" s="7" customFormat="1" ht="17" x14ac:dyDescent="0.2">
      <c r="A151" s="25" t="str">
        <f>BIBLE!E155</f>
        <v>E03a</v>
      </c>
      <c r="B151" s="25" t="str">
        <f>BIBLE!F155</f>
        <v>Votre enfant a reçu l’ordre de ne pas vous raconter ce qui se passe chez l’autre parent.</v>
      </c>
      <c r="C151" s="1713"/>
      <c r="D151" s="1829"/>
      <c r="E151" s="1829"/>
      <c r="F151" s="1830"/>
      <c r="G151" s="1831"/>
      <c r="H151" s="1392">
        <v>1</v>
      </c>
      <c r="I151" s="27"/>
      <c r="J151" s="1842"/>
      <c r="K151" s="1837"/>
      <c r="L151" s="1839"/>
      <c r="M151" s="67"/>
      <c r="N151" s="590"/>
      <c r="O151" s="1844">
        <f t="shared" si="5"/>
        <v>1</v>
      </c>
      <c r="W151" s="25" t="s">
        <v>1775</v>
      </c>
    </row>
    <row r="152" spans="1:23" s="7" customFormat="1" ht="17" x14ac:dyDescent="0.2">
      <c r="A152" s="25" t="str">
        <f>BIBLE!E156</f>
        <v>E04</v>
      </c>
      <c r="B152" s="25" t="str">
        <f>BIBLE!F156</f>
        <v>Votre enfant défend l'autre parent, quoi que vous fassiez, quoi que vous disiez.</v>
      </c>
      <c r="C152" s="1713"/>
      <c r="D152" s="1829"/>
      <c r="E152" s="1829"/>
      <c r="F152" s="1830"/>
      <c r="G152" s="1831"/>
      <c r="H152" s="1392"/>
      <c r="I152" s="27">
        <v>1</v>
      </c>
      <c r="J152" s="1842"/>
      <c r="K152" s="1837"/>
      <c r="L152" s="1839"/>
      <c r="M152" s="67">
        <v>1</v>
      </c>
      <c r="N152" s="590"/>
      <c r="O152" s="1844">
        <f t="shared" si="5"/>
        <v>1</v>
      </c>
      <c r="W152" s="25"/>
    </row>
    <row r="153" spans="1:23" s="7" customFormat="1" ht="34" x14ac:dyDescent="0.2">
      <c r="A153" s="25" t="str">
        <f>BIBLE!E157</f>
        <v>E04a</v>
      </c>
      <c r="B153" s="25" t="str">
        <f>BIBLE!F157</f>
        <v>Aux yeux de votre enfant, tout ce que fait l'autre parent est bien, voire parfait, et tout ce que vous faites est mauvais ou sujet à critiques.</v>
      </c>
      <c r="C153" s="1713"/>
      <c r="D153" s="1829"/>
      <c r="E153" s="1829"/>
      <c r="F153" s="1830"/>
      <c r="G153" s="1831"/>
      <c r="H153" s="1392"/>
      <c r="I153" s="27">
        <v>1</v>
      </c>
      <c r="J153" s="1842"/>
      <c r="K153" s="1837"/>
      <c r="L153" s="1839"/>
      <c r="M153" s="67"/>
      <c r="N153" s="590"/>
      <c r="O153" s="1844">
        <f t="shared" si="5"/>
        <v>1</v>
      </c>
      <c r="W153" s="25" t="s">
        <v>1775</v>
      </c>
    </row>
    <row r="154" spans="1:23" s="7" customFormat="1" ht="17" x14ac:dyDescent="0.2">
      <c r="A154" s="25" t="str">
        <f>BIBLE!E158</f>
        <v>E04a1</v>
      </c>
      <c r="B154" s="25" t="str">
        <f>BIBLE!F158</f>
        <v>Votre enfant calque les désirs et les paroles de l’autre parent.</v>
      </c>
      <c r="C154" s="1713"/>
      <c r="D154" s="1829"/>
      <c r="E154" s="1829"/>
      <c r="F154" s="1830"/>
      <c r="G154" s="1831"/>
      <c r="H154" s="1392"/>
      <c r="I154" s="27">
        <v>1</v>
      </c>
      <c r="J154" s="1842"/>
      <c r="K154" s="1837"/>
      <c r="L154" s="1839"/>
      <c r="M154" s="67"/>
      <c r="N154" s="590"/>
      <c r="O154" s="1844">
        <f t="shared" si="5"/>
        <v>1</v>
      </c>
      <c r="W154" s="25" t="s">
        <v>1775</v>
      </c>
    </row>
    <row r="155" spans="1:23" s="7" customFormat="1" ht="17" x14ac:dyDescent="0.2">
      <c r="A155" s="25" t="str">
        <f>BIBLE!E159</f>
        <v>E05</v>
      </c>
      <c r="B155" s="25" t="str">
        <f>BIBLE!F159</f>
        <v>Votre enfant s’exprime avec des expressions ou des paroles empruntées à l’autre parent.</v>
      </c>
      <c r="C155" s="1713"/>
      <c r="D155" s="1829"/>
      <c r="E155" s="1829"/>
      <c r="F155" s="1830"/>
      <c r="G155" s="1831"/>
      <c r="H155" s="1392"/>
      <c r="I155" s="27">
        <v>1</v>
      </c>
      <c r="J155" s="1842"/>
      <c r="K155" s="1837"/>
      <c r="L155" s="1839"/>
      <c r="M155" s="67"/>
      <c r="N155" s="590"/>
      <c r="O155" s="1844">
        <f t="shared" si="5"/>
        <v>1</v>
      </c>
      <c r="W155" s="25" t="s">
        <v>1775</v>
      </c>
    </row>
    <row r="156" spans="1:23" s="7" customFormat="1" ht="17" x14ac:dyDescent="0.2">
      <c r="A156" s="25" t="str">
        <f>BIBLE!E160</f>
        <v>E05a</v>
      </c>
      <c r="B156" s="25" t="str">
        <f>BIBLE!F160</f>
        <v>Dans quels contextes ou à quelles occasions cela se produit-il ?</v>
      </c>
      <c r="C156" s="1713"/>
      <c r="D156" s="1713"/>
      <c r="E156" s="1713"/>
      <c r="F156" s="1713"/>
      <c r="G156" s="1713"/>
      <c r="H156" s="1713"/>
      <c r="I156" s="1713"/>
      <c r="J156" s="1713"/>
      <c r="K156" s="1713"/>
      <c r="L156" s="1713"/>
      <c r="M156" s="67" t="s">
        <v>1743</v>
      </c>
      <c r="N156" s="590"/>
      <c r="O156" s="1844"/>
      <c r="W156" s="25" t="s">
        <v>1784</v>
      </c>
    </row>
    <row r="157" spans="1:23" s="7" customFormat="1" ht="17" x14ac:dyDescent="0.2">
      <c r="A157" s="25" t="str">
        <f>BIBLE!E161</f>
        <v>E06</v>
      </c>
      <c r="B157" s="25" t="str">
        <f>BIBLE!F161</f>
        <v>Votre enfant vous accuse ou vous reproche d'avoir brisé ou abandonné la famille.</v>
      </c>
      <c r="C157" s="1713"/>
      <c r="D157" s="1829"/>
      <c r="E157" s="1829"/>
      <c r="F157" s="1830"/>
      <c r="G157" s="1831"/>
      <c r="H157" s="1392">
        <v>1</v>
      </c>
      <c r="I157" s="27"/>
      <c r="J157" s="1842"/>
      <c r="K157" s="1837"/>
      <c r="L157" s="1839"/>
      <c r="M157" s="67"/>
      <c r="N157" s="590"/>
      <c r="O157" s="1844">
        <f t="shared" ref="O157:O169" si="6">C157+D157+E157+F157+G157+H157+I157+J157+K157+L157</f>
        <v>1</v>
      </c>
      <c r="W157" s="25"/>
    </row>
    <row r="158" spans="1:23" s="7" customFormat="1" ht="34" x14ac:dyDescent="0.2">
      <c r="A158" s="25" t="str">
        <f>BIBLE!E162</f>
        <v>E06a</v>
      </c>
      <c r="B158" s="25" t="str">
        <f>BIBLE!F162</f>
        <v>Votre enfant croit que vous souffrez d’une maladie mentale ou que vous êtes instable psychologiquement.</v>
      </c>
      <c r="C158" s="1713"/>
      <c r="D158" s="1829"/>
      <c r="E158" s="1829"/>
      <c r="F158" s="1830"/>
      <c r="G158" s="1831"/>
      <c r="H158" s="1392">
        <v>1</v>
      </c>
      <c r="I158" s="27"/>
      <c r="J158" s="1842"/>
      <c r="K158" s="1837"/>
      <c r="L158" s="1839"/>
      <c r="M158" s="67"/>
      <c r="N158" s="590"/>
      <c r="O158" s="1844">
        <f t="shared" si="6"/>
        <v>1</v>
      </c>
      <c r="W158" s="25"/>
    </row>
    <row r="159" spans="1:23" s="7" customFormat="1" ht="34" x14ac:dyDescent="0.2">
      <c r="A159" s="25" t="str">
        <f>BIBLE!E163</f>
        <v>E06a1</v>
      </c>
      <c r="B159" s="25" t="str">
        <f>BIBLE!F163</f>
        <v>Arrive-t-il à votre enfant de vous reprocher d'être dangereux·se ou de présenter un danger pour sa sécurité ?</v>
      </c>
      <c r="C159" s="1713"/>
      <c r="D159" s="1829"/>
      <c r="E159" s="1829"/>
      <c r="F159" s="1830"/>
      <c r="G159" s="1831"/>
      <c r="H159" s="1392">
        <v>1</v>
      </c>
      <c r="I159" s="27"/>
      <c r="J159" s="1842"/>
      <c r="K159" s="1837"/>
      <c r="L159" s="1839"/>
      <c r="M159" s="67"/>
      <c r="N159" s="590"/>
      <c r="O159" s="1844">
        <f t="shared" si="6"/>
        <v>1</v>
      </c>
      <c r="W159" s="25"/>
    </row>
    <row r="160" spans="1:23" s="7" customFormat="1" ht="34" x14ac:dyDescent="0.2">
      <c r="A160" s="25" t="str">
        <f>BIBLE!E164</f>
        <v>E07</v>
      </c>
      <c r="B160" s="25" t="str">
        <f>BIBLE!F164</f>
        <v>Votre enfant se sent coupable de passer du temps avec vous car cela pourrait indisposer, contrarier ou faire de la peine à l'autre parent.</v>
      </c>
      <c r="C160" s="1713"/>
      <c r="D160" s="1829"/>
      <c r="E160" s="1829"/>
      <c r="F160" s="1830"/>
      <c r="G160" s="1831"/>
      <c r="H160" s="1392">
        <v>1</v>
      </c>
      <c r="I160" s="27"/>
      <c r="J160" s="1842"/>
      <c r="K160" s="1837"/>
      <c r="L160" s="1839"/>
      <c r="M160" s="67"/>
      <c r="N160" s="590"/>
      <c r="O160" s="1844">
        <f t="shared" si="6"/>
        <v>1</v>
      </c>
      <c r="W160" s="25"/>
    </row>
    <row r="161" spans="1:23" s="7" customFormat="1" ht="34" x14ac:dyDescent="0.2">
      <c r="A161" s="25" t="str">
        <f>BIBLE!E165</f>
        <v>E09</v>
      </c>
      <c r="B161" s="25" t="str">
        <f>BIBLE!F165</f>
        <v xml:space="preserve">Dans quelle mesure diriez-vous que votre enfant vous tient responsable de la peine ou de la frustration de son autre parent ? </v>
      </c>
      <c r="C161" s="1713"/>
      <c r="D161" s="1829"/>
      <c r="E161" s="1829"/>
      <c r="F161" s="1830"/>
      <c r="G161" s="1831"/>
      <c r="H161" s="1392">
        <v>1</v>
      </c>
      <c r="I161" s="27"/>
      <c r="J161" s="1842"/>
      <c r="K161" s="1837"/>
      <c r="L161" s="1839"/>
      <c r="M161" s="67"/>
      <c r="N161" s="590"/>
      <c r="O161" s="1844">
        <f t="shared" si="6"/>
        <v>1</v>
      </c>
      <c r="W161" s="25" t="s">
        <v>1775</v>
      </c>
    </row>
    <row r="162" spans="1:23" s="7" customFormat="1" ht="17" x14ac:dyDescent="0.2">
      <c r="A162" s="25" t="str">
        <f>BIBLE!E166</f>
        <v>E10</v>
      </c>
      <c r="B162" s="25" t="str">
        <f>BIBLE!F166</f>
        <v>Votre enfant cherche à vous convaincre des qualités de l’autre parent.</v>
      </c>
      <c r="C162" s="1713"/>
      <c r="D162" s="1829"/>
      <c r="E162" s="1829"/>
      <c r="F162" s="1830"/>
      <c r="G162" s="1831"/>
      <c r="H162" s="1392"/>
      <c r="I162" s="27">
        <v>1</v>
      </c>
      <c r="J162" s="1842"/>
      <c r="K162" s="1837"/>
      <c r="L162" s="1839"/>
      <c r="M162" s="67"/>
      <c r="N162" s="590"/>
      <c r="O162" s="1844">
        <f t="shared" si="6"/>
        <v>1</v>
      </c>
      <c r="W162" s="25"/>
    </row>
    <row r="163" spans="1:23" s="7" customFormat="1" ht="34" x14ac:dyDescent="0.2">
      <c r="A163" s="25" t="str">
        <f>BIBLE!E167</f>
        <v>E11</v>
      </c>
      <c r="B163" s="25" t="str">
        <f>BIBLE!F167</f>
        <v>Votre enfant va vers vous lors d'événements culturels ou sportifs lorsqu'il ou elle est en compagnie (sous la supervision) de l'autre parent ?</v>
      </c>
      <c r="C163" s="1713"/>
      <c r="D163" s="1829"/>
      <c r="E163" s="1829"/>
      <c r="F163" s="1830"/>
      <c r="G163" s="1831"/>
      <c r="H163" s="1392">
        <v>1</v>
      </c>
      <c r="I163" s="27"/>
      <c r="J163" s="1842"/>
      <c r="K163" s="1837"/>
      <c r="L163" s="1839"/>
      <c r="M163" s="67"/>
      <c r="N163" s="590"/>
      <c r="O163" s="1844">
        <f t="shared" si="6"/>
        <v>1</v>
      </c>
      <c r="W163" s="25" t="s">
        <v>1775</v>
      </c>
    </row>
    <row r="164" spans="1:23" s="7" customFormat="1" ht="34" x14ac:dyDescent="0.2">
      <c r="A164" s="25" t="str">
        <f>BIBLE!E168</f>
        <v>E13</v>
      </c>
      <c r="B164" s="25" t="str">
        <f>BIBLE!F168</f>
        <v>Votre enfant dénigre votre nouvelle famille (nouveau ou nouvelle conjoint·e ou enfant né·e d’une nouvelle union).</v>
      </c>
      <c r="C164" s="1713"/>
      <c r="D164" s="1829"/>
      <c r="E164" s="1829"/>
      <c r="F164" s="1830"/>
      <c r="G164" s="1831"/>
      <c r="H164" s="1392">
        <v>1</v>
      </c>
      <c r="I164" s="27"/>
      <c r="J164" s="1842"/>
      <c r="K164" s="1837"/>
      <c r="L164" s="1839"/>
      <c r="M164" s="67"/>
      <c r="N164" s="590"/>
      <c r="O164" s="1844">
        <f t="shared" si="6"/>
        <v>1</v>
      </c>
      <c r="W164" s="25" t="s">
        <v>1775</v>
      </c>
    </row>
    <row r="165" spans="1:23" s="7" customFormat="1" ht="17" x14ac:dyDescent="0.2">
      <c r="A165" s="25" t="str">
        <f>BIBLE!E169</f>
        <v>E14</v>
      </c>
      <c r="B165" s="25" t="str">
        <f>BIBLE!F169</f>
        <v>Votre enfant laisse entendre que sa vraie famille est celle avec l’autre parent.</v>
      </c>
      <c r="C165" s="1713"/>
      <c r="D165" s="1829"/>
      <c r="E165" s="1829"/>
      <c r="F165" s="1830"/>
      <c r="G165" s="1831"/>
      <c r="H165" s="1392">
        <v>1</v>
      </c>
      <c r="I165" s="27"/>
      <c r="J165" s="1842"/>
      <c r="K165" s="1837"/>
      <c r="L165" s="1839"/>
      <c r="M165" s="67"/>
      <c r="N165" s="590"/>
      <c r="O165" s="1844">
        <f t="shared" si="6"/>
        <v>1</v>
      </c>
      <c r="W165" s="25"/>
    </row>
    <row r="166" spans="1:23" s="7" customFormat="1" ht="34" x14ac:dyDescent="0.2">
      <c r="A166" s="25" t="str">
        <f>BIBLE!E170</f>
        <v>E14a</v>
      </c>
      <c r="B166" s="25" t="str">
        <f>BIBLE!F170</f>
        <v xml:space="preserve">Selon votre enfant, la nouvelle famille de l'autre parent (famille recomposée ou non) a plus de valeur que la vôtre. </v>
      </c>
      <c r="C166" s="1713"/>
      <c r="D166" s="1829"/>
      <c r="E166" s="1829"/>
      <c r="F166" s="1830"/>
      <c r="G166" s="1831"/>
      <c r="H166" s="1392">
        <v>1</v>
      </c>
      <c r="I166" s="27"/>
      <c r="J166" s="1842"/>
      <c r="K166" s="1837"/>
      <c r="L166" s="1839"/>
      <c r="M166" s="67"/>
      <c r="N166" s="590"/>
      <c r="O166" s="1844">
        <f t="shared" si="6"/>
        <v>1</v>
      </c>
      <c r="W166" s="25" t="s">
        <v>1775</v>
      </c>
    </row>
    <row r="167" spans="1:23" s="7" customFormat="1" ht="34" x14ac:dyDescent="0.2">
      <c r="A167" s="25" t="str">
        <f>BIBLE!E171</f>
        <v>E15</v>
      </c>
      <c r="B167" s="25" t="str">
        <f>BIBLE!F171</f>
        <v>Arrive-t-il à votre enfant d'être agressif envers vous au retour d'un séjour (tour de garde) chez l'autre parent ?</v>
      </c>
      <c r="C167" s="1829"/>
      <c r="D167" s="1829"/>
      <c r="E167" s="1829"/>
      <c r="F167" s="1829"/>
      <c r="G167" s="1829"/>
      <c r="H167" s="1829"/>
      <c r="I167" s="1859">
        <v>0</v>
      </c>
      <c r="J167" s="1829"/>
      <c r="K167" s="1843"/>
      <c r="L167" s="1843"/>
      <c r="M167" s="67"/>
      <c r="N167" s="590"/>
      <c r="O167" s="1844">
        <f t="shared" si="6"/>
        <v>0</v>
      </c>
      <c r="W167" s="25" t="s">
        <v>1775</v>
      </c>
    </row>
    <row r="168" spans="1:23" s="7" customFormat="1" ht="34" x14ac:dyDescent="0.2">
      <c r="A168" s="25" t="str">
        <f>BIBLE!E172</f>
        <v>E15a</v>
      </c>
      <c r="B168" s="25" t="str">
        <f>BIBLE!F172</f>
        <v>Arrive-t-il à votre enfant de vous accuser de voler de l’argent à son autre parent ou d'être responsable de son apauvrissement ?</v>
      </c>
      <c r="C168" s="1713"/>
      <c r="D168" s="1829"/>
      <c r="E168" s="1829"/>
      <c r="F168" s="1830"/>
      <c r="G168" s="1831"/>
      <c r="H168" s="1392">
        <v>1</v>
      </c>
      <c r="I168" s="27"/>
      <c r="J168" s="1842"/>
      <c r="K168" s="1837"/>
      <c r="L168" s="1839"/>
      <c r="M168" s="67"/>
      <c r="N168" s="590"/>
      <c r="O168" s="1844">
        <f t="shared" si="6"/>
        <v>1</v>
      </c>
      <c r="W168" s="25"/>
    </row>
    <row r="169" spans="1:23" s="7" customFormat="1" ht="17" x14ac:dyDescent="0.2">
      <c r="A169" s="25" t="str">
        <f>BIBLE!E173</f>
        <v>E16</v>
      </c>
      <c r="B169" s="25" t="str">
        <f>BIBLE!F173</f>
        <v>Votre enfant demande à modifier les horaires de garde et de visite.</v>
      </c>
      <c r="C169" s="1713"/>
      <c r="D169" s="1829"/>
      <c r="E169" s="1829"/>
      <c r="F169" s="1830"/>
      <c r="G169" s="1831"/>
      <c r="H169" s="1392">
        <v>1</v>
      </c>
      <c r="I169" s="27"/>
      <c r="J169" s="1842"/>
      <c r="K169" s="1837"/>
      <c r="L169" s="1839"/>
      <c r="M169" s="67"/>
      <c r="N169" s="590"/>
      <c r="O169" s="1844">
        <f t="shared" si="6"/>
        <v>1</v>
      </c>
      <c r="W169" s="25" t="s">
        <v>1775</v>
      </c>
    </row>
    <row r="170" spans="1:23" s="7" customFormat="1" ht="34" x14ac:dyDescent="0.2">
      <c r="A170" s="25" t="str">
        <f>BIBLE!E174</f>
        <v>E16a</v>
      </c>
      <c r="B170" s="25" t="str">
        <f>BIBLE!F174</f>
        <v>Dans quel contexte votre enfant demande-t-il ou elle à changer les horaires de garde et de visite chez l'un et l'autre des parents ?</v>
      </c>
      <c r="C170" s="1829"/>
      <c r="D170" s="1829"/>
      <c r="E170" s="1829"/>
      <c r="F170" s="1829"/>
      <c r="G170" s="1829"/>
      <c r="H170" s="1829"/>
      <c r="I170" s="1829"/>
      <c r="J170" s="1829"/>
      <c r="K170" s="1829"/>
      <c r="L170" s="1829"/>
      <c r="M170" s="67"/>
      <c r="N170" s="590"/>
      <c r="O170" s="1844"/>
      <c r="W170" s="25" t="s">
        <v>1784</v>
      </c>
    </row>
    <row r="171" spans="1:23" s="7" customFormat="1" ht="51" x14ac:dyDescent="0.2">
      <c r="A171" s="25" t="str">
        <f>BIBLE!E175</f>
        <v>E16a1</v>
      </c>
      <c r="B171" s="25" t="str">
        <f>BIBLE!F175</f>
        <v>Dans quelle mesure votre enfant impose-t-il ou elle des changements d’horaires et de visite à la faveur de l'autre parent sans vous consulter au préalable et sans votre autorisation ?</v>
      </c>
      <c r="C171" s="1713"/>
      <c r="D171" s="1829"/>
      <c r="E171" s="1829"/>
      <c r="F171" s="1830"/>
      <c r="G171" s="1831"/>
      <c r="H171" s="1392">
        <v>1</v>
      </c>
      <c r="I171" s="27"/>
      <c r="J171" s="1842"/>
      <c r="K171" s="1837"/>
      <c r="L171" s="1839"/>
      <c r="M171" s="67"/>
      <c r="N171" s="590"/>
      <c r="O171" s="1844">
        <f t="shared" ref="O171:O198" si="7">C171+D171+E171+F171+G171+H171+I171+J171+K171+L171</f>
        <v>1</v>
      </c>
      <c r="W171" s="25"/>
    </row>
    <row r="172" spans="1:23" s="7" customFormat="1" ht="51" x14ac:dyDescent="0.2">
      <c r="A172" s="25" t="str">
        <f>BIBLE!E176</f>
        <v>E16a2</v>
      </c>
      <c r="B172" s="25" t="str">
        <f>BIBLE!F176</f>
        <v>Arrive-t-il à votre enfant de changer d’idée concernant une activité prévue à l’horaire avec vous ?  D’abord enthousiaste, votre enfant trouve subitement (dernière minute) des excuses pour ne pas participer à l’activité ?</v>
      </c>
      <c r="C172" s="1713"/>
      <c r="D172" s="1829"/>
      <c r="E172" s="1829"/>
      <c r="F172" s="1830"/>
      <c r="G172" s="1831"/>
      <c r="H172" s="1392">
        <v>1</v>
      </c>
      <c r="I172" s="27"/>
      <c r="J172" s="1842"/>
      <c r="K172" s="1837"/>
      <c r="L172" s="1839"/>
      <c r="M172" s="67"/>
      <c r="N172" s="590"/>
      <c r="O172" s="1844">
        <f t="shared" si="7"/>
        <v>1</v>
      </c>
      <c r="W172" s="25"/>
    </row>
    <row r="173" spans="1:23" s="7" customFormat="1" ht="17" x14ac:dyDescent="0.2">
      <c r="A173" s="25" t="str">
        <f>BIBLE!E177</f>
        <v>E16a3</v>
      </c>
      <c r="B173" s="25" t="str">
        <f>BIBLE!F177</f>
        <v>Votre enfant subit une pression pour passer plus de temps chez l'autre parent.</v>
      </c>
      <c r="C173" s="1713"/>
      <c r="D173" s="1829"/>
      <c r="E173" s="1829"/>
      <c r="F173" s="1830"/>
      <c r="G173" s="1831"/>
      <c r="H173" s="1392">
        <v>1</v>
      </c>
      <c r="I173" s="27"/>
      <c r="J173" s="1842"/>
      <c r="K173" s="1837"/>
      <c r="L173" s="1839"/>
      <c r="M173" s="67"/>
      <c r="N173" s="590"/>
      <c r="O173" s="1844">
        <f t="shared" si="7"/>
        <v>1</v>
      </c>
      <c r="W173" s="25" t="s">
        <v>1775</v>
      </c>
    </row>
    <row r="174" spans="1:23" s="7" customFormat="1" ht="34" x14ac:dyDescent="0.2">
      <c r="A174" s="25" t="str">
        <f>BIBLE!E178</f>
        <v>E18</v>
      </c>
      <c r="B174" s="25" t="str">
        <f>BIBLE!F178</f>
        <v>Votre enfant répond à vos messages lorsqu’il est chez l’autre parent (tél., textos, réseaux sociaux, etc.).</v>
      </c>
      <c r="C174" s="1713"/>
      <c r="D174" s="1829"/>
      <c r="E174" s="1829"/>
      <c r="F174" s="1830"/>
      <c r="G174" s="1831"/>
      <c r="H174" s="1392">
        <v>1</v>
      </c>
      <c r="I174" s="27"/>
      <c r="J174" s="1842"/>
      <c r="K174" s="1837"/>
      <c r="L174" s="1839"/>
      <c r="M174" s="67"/>
      <c r="N174" s="590"/>
      <c r="O174" s="1844">
        <f t="shared" si="7"/>
        <v>1</v>
      </c>
      <c r="W174" s="25"/>
    </row>
    <row r="175" spans="1:23" s="7" customFormat="1" ht="34" x14ac:dyDescent="0.2">
      <c r="A175" s="25" t="str">
        <f>BIBLE!E179</f>
        <v>E20</v>
      </c>
      <c r="B175" s="25" t="str">
        <f>BIBLE!F179</f>
        <v>Votre enfant considère le nouveau ou nouvelle conjoint·e (de l'autre parent) comme son père ou sa mère.</v>
      </c>
      <c r="C175" s="1713"/>
      <c r="D175" s="1829"/>
      <c r="E175" s="1829"/>
      <c r="F175" s="1830"/>
      <c r="G175" s="1831"/>
      <c r="H175" s="1392">
        <v>1</v>
      </c>
      <c r="I175" s="27"/>
      <c r="J175" s="1842"/>
      <c r="K175" s="1837"/>
      <c r="L175" s="1839"/>
      <c r="M175" s="67"/>
      <c r="N175" s="590"/>
      <c r="O175" s="1844">
        <f t="shared" si="7"/>
        <v>1</v>
      </c>
      <c r="W175" s="25"/>
    </row>
    <row r="176" spans="1:23" s="7" customFormat="1" ht="34" x14ac:dyDescent="0.2">
      <c r="A176" s="25" t="str">
        <f>BIBLE!E180</f>
        <v>E20a</v>
      </c>
      <c r="B176" s="25" t="str">
        <f>BIBLE!F180</f>
        <v>Dans quelle mesure la présence du nouveau ou nouvelle conjoint·e apporte-t-elle chez votre enfant une confusion au niveau des rôles parentaux ?</v>
      </c>
      <c r="C176" s="1713"/>
      <c r="D176" s="1829"/>
      <c r="E176" s="1829"/>
      <c r="F176" s="1830"/>
      <c r="G176" s="1831"/>
      <c r="H176" s="1392">
        <v>1</v>
      </c>
      <c r="I176" s="27"/>
      <c r="J176" s="1842"/>
      <c r="K176" s="1837"/>
      <c r="L176" s="1839"/>
      <c r="M176" s="67"/>
      <c r="N176" s="590" t="s">
        <v>1771</v>
      </c>
      <c r="O176" s="1844">
        <f t="shared" si="7"/>
        <v>1</v>
      </c>
      <c r="W176" s="25"/>
    </row>
    <row r="177" spans="1:23" s="7" customFormat="1" ht="34" x14ac:dyDescent="0.2">
      <c r="A177" s="25" t="str">
        <f>BIBLE!E181</f>
        <v>E21</v>
      </c>
      <c r="B177" s="25" t="str">
        <f>BIBLE!F181</f>
        <v>Les jouets et les vêtements de votre enfant se promènent d’une maison à l’autre simplement.</v>
      </c>
      <c r="C177" s="1853">
        <v>1</v>
      </c>
      <c r="D177" s="1829"/>
      <c r="E177" s="1829"/>
      <c r="F177" s="1830"/>
      <c r="G177" s="1831"/>
      <c r="H177" s="1854">
        <v>0</v>
      </c>
      <c r="I177" s="27"/>
      <c r="J177" s="1842"/>
      <c r="K177" s="1837"/>
      <c r="L177" s="1839"/>
      <c r="M177" s="67"/>
      <c r="N177" s="590"/>
      <c r="O177" s="1844">
        <f t="shared" si="7"/>
        <v>1</v>
      </c>
      <c r="W177" s="25"/>
    </row>
    <row r="178" spans="1:23" s="1815" customFormat="1" ht="34" x14ac:dyDescent="0.2">
      <c r="A178" s="289" t="str">
        <f>BIBLE!E182</f>
        <v>E21a</v>
      </c>
      <c r="B178" s="289" t="str">
        <f>BIBLE!F182</f>
        <v xml:space="preserve">Dans quelle mesure diriez-vous que l'autre parent accepte que votre enfant apporte des objets qui proviennent de votre demeure ou de votre milieu ? </v>
      </c>
      <c r="C178" s="1569"/>
      <c r="D178" s="1569"/>
      <c r="E178" s="1569"/>
      <c r="F178" s="1569"/>
      <c r="G178" s="1569"/>
      <c r="H178" s="1569">
        <v>1</v>
      </c>
      <c r="I178" s="1569"/>
      <c r="J178" s="1569"/>
      <c r="K178" s="1862"/>
      <c r="L178" s="1862"/>
      <c r="M178" s="1568"/>
      <c r="N178" s="1863"/>
      <c r="O178" s="1864">
        <f t="shared" si="7"/>
        <v>1</v>
      </c>
      <c r="W178" s="289" t="s">
        <v>1775</v>
      </c>
    </row>
    <row r="179" spans="1:23" s="7" customFormat="1" ht="34" x14ac:dyDescent="0.2">
      <c r="A179" s="25" t="str">
        <f>BIBLE!E183</f>
        <v>E22</v>
      </c>
      <c r="B179" s="25" t="str">
        <f>BIBLE!F183</f>
        <v>Votre enfant connait des informations personnelles ou intimes sur vous dont vous n'avez jamais discuté avec lui ou avec elle.</v>
      </c>
      <c r="C179" s="1713"/>
      <c r="D179" s="1829"/>
      <c r="E179" s="1829"/>
      <c r="F179" s="1830"/>
      <c r="G179" s="1831"/>
      <c r="H179" s="1392">
        <v>1</v>
      </c>
      <c r="I179" s="27"/>
      <c r="J179" s="1842"/>
      <c r="K179" s="1837"/>
      <c r="L179" s="1839"/>
      <c r="M179" s="67"/>
      <c r="N179" s="590"/>
      <c r="O179" s="1844">
        <f t="shared" si="7"/>
        <v>1</v>
      </c>
      <c r="W179" s="25" t="s">
        <v>1775</v>
      </c>
    </row>
    <row r="180" spans="1:23" s="7" customFormat="1" ht="34" x14ac:dyDescent="0.2">
      <c r="A180" s="25" t="str">
        <f>BIBLE!E184</f>
        <v>E22a</v>
      </c>
      <c r="B180" s="25" t="str">
        <f>BIBLE!F184</f>
        <v>Dans quelle mesure les souvenirs de votre enfant vous semblent-ils être déformés ? (ex.: souvenirs de la petite enfance vus aujourd'hui différement)</v>
      </c>
      <c r="C180" s="1713"/>
      <c r="D180" s="1829"/>
      <c r="E180" s="1829"/>
      <c r="F180" s="1830"/>
      <c r="G180" s="1831"/>
      <c r="H180" s="1392">
        <v>1</v>
      </c>
      <c r="I180" s="27"/>
      <c r="J180" s="1842"/>
      <c r="K180" s="1837"/>
      <c r="L180" s="1839"/>
      <c r="M180" s="67"/>
      <c r="N180" s="590"/>
      <c r="O180" s="1844">
        <f t="shared" si="7"/>
        <v>1</v>
      </c>
      <c r="W180" s="25" t="s">
        <v>1775</v>
      </c>
    </row>
    <row r="181" spans="1:23" s="7" customFormat="1" ht="51" x14ac:dyDescent="0.2">
      <c r="A181" s="25" t="str">
        <f>BIBLE!E185</f>
        <v>E17</v>
      </c>
      <c r="B181" s="25" t="str">
        <f>BIBLE!F185</f>
        <v xml:space="preserve">Dans quelle mesure diriez-vous que votre enfant a la responsabilité de vous communiquer les informations concernant la logistique familiale (gestion vêtements, lunch, activités, etc.) au retour d'un séjour chez l'autre parent ? </v>
      </c>
      <c r="C181" s="1853">
        <v>1</v>
      </c>
      <c r="D181" s="1829"/>
      <c r="E181" s="1829"/>
      <c r="F181" s="1830"/>
      <c r="G181" s="1831"/>
      <c r="H181" s="1392">
        <v>1</v>
      </c>
      <c r="I181" s="27"/>
      <c r="J181" s="1842"/>
      <c r="K181" s="1837"/>
      <c r="L181" s="1839"/>
      <c r="M181" s="67"/>
      <c r="N181" s="590"/>
      <c r="O181" s="1844">
        <f t="shared" si="7"/>
        <v>2</v>
      </c>
      <c r="W181" s="25" t="s">
        <v>1775</v>
      </c>
    </row>
    <row r="182" spans="1:23" s="7" customFormat="1" ht="34" x14ac:dyDescent="0.2">
      <c r="A182" s="25" t="str">
        <f>BIBLE!E186</f>
        <v>E23</v>
      </c>
      <c r="B182" s="25" t="str">
        <f>BIBLE!F186</f>
        <v>Votre enfant se sent responsable du bonheur de l’autre parent ou sent le besoin de le protéger.</v>
      </c>
      <c r="C182" s="1713"/>
      <c r="D182" s="1829"/>
      <c r="E182" s="1829"/>
      <c r="F182" s="1830"/>
      <c r="G182" s="1831"/>
      <c r="H182" s="1392">
        <v>1</v>
      </c>
      <c r="I182" s="27"/>
      <c r="J182" s="1842"/>
      <c r="K182" s="1837"/>
      <c r="L182" s="1839"/>
      <c r="M182" s="67"/>
      <c r="N182" s="590"/>
      <c r="O182" s="1844">
        <f t="shared" si="7"/>
        <v>1</v>
      </c>
      <c r="W182" s="25"/>
    </row>
    <row r="183" spans="1:23" s="7" customFormat="1" ht="34" x14ac:dyDescent="0.2">
      <c r="A183" s="25" t="str">
        <f>BIBLE!E187</f>
        <v>E24</v>
      </c>
      <c r="B183" s="25" t="str">
        <f>BIBLE!F187</f>
        <v>L'autre parent a informé votre enfant du contexte juridique, financier ou autre associé au conflit vous opposant.</v>
      </c>
      <c r="C183" s="1713"/>
      <c r="D183" s="1829"/>
      <c r="E183" s="1829"/>
      <c r="F183" s="1830"/>
      <c r="G183" s="1831"/>
      <c r="H183" s="1392">
        <v>1</v>
      </c>
      <c r="I183" s="27"/>
      <c r="J183" s="1842"/>
      <c r="K183" s="1837"/>
      <c r="L183" s="1839"/>
      <c r="M183" s="67"/>
      <c r="N183" s="590"/>
      <c r="O183" s="1844">
        <f t="shared" si="7"/>
        <v>1</v>
      </c>
      <c r="W183" s="25" t="s">
        <v>1775</v>
      </c>
    </row>
    <row r="184" spans="1:23" s="7" customFormat="1" ht="34" x14ac:dyDescent="0.2">
      <c r="A184" s="25" t="str">
        <f>BIBLE!E188</f>
        <v>E25</v>
      </c>
      <c r="B184" s="25" t="str">
        <f>BIBLE!F188</f>
        <v>Dans quelle mesure diriez-vous que votre enfant sent le besoin de protéger l’autre parent ou de défendre ses intérêts ?</v>
      </c>
      <c r="C184" s="1713"/>
      <c r="D184" s="1829"/>
      <c r="E184" s="1829"/>
      <c r="F184" s="1830"/>
      <c r="G184" s="1831"/>
      <c r="H184" s="1392">
        <v>1</v>
      </c>
      <c r="I184" s="27"/>
      <c r="J184" s="1842"/>
      <c r="K184" s="1837"/>
      <c r="L184" s="1839"/>
      <c r="M184" s="67"/>
      <c r="N184" s="590"/>
      <c r="O184" s="1844">
        <f t="shared" si="7"/>
        <v>1</v>
      </c>
      <c r="W184" s="25"/>
    </row>
    <row r="185" spans="1:23" s="7" customFormat="1" ht="17" x14ac:dyDescent="0.2">
      <c r="A185" s="25" t="str">
        <f>BIBLE!E189</f>
        <v>E26</v>
      </c>
      <c r="B185" s="25" t="str">
        <f>BIBLE!F189</f>
        <v>Le comportement ou l'attitude de votre enfant change en présence de l’autre parent.</v>
      </c>
      <c r="C185" s="1713"/>
      <c r="D185" s="1829"/>
      <c r="E185" s="1829"/>
      <c r="F185" s="1830"/>
      <c r="G185" s="1831"/>
      <c r="H185" s="1392">
        <v>1</v>
      </c>
      <c r="I185" s="27"/>
      <c r="J185" s="1842"/>
      <c r="K185" s="1837"/>
      <c r="L185" s="1839"/>
      <c r="M185" s="67"/>
      <c r="N185" s="590"/>
      <c r="O185" s="1844">
        <f t="shared" si="7"/>
        <v>1</v>
      </c>
      <c r="W185" s="25"/>
    </row>
    <row r="186" spans="1:23" s="7" customFormat="1" ht="34" x14ac:dyDescent="0.2">
      <c r="A186" s="25" t="str">
        <f>BIBLE!E190</f>
        <v>E12</v>
      </c>
      <c r="B186" s="25" t="str">
        <f>BIBLE!F190</f>
        <v xml:space="preserve">Est-il déjà arrivé que votre enfant dénigre vos compétences parentales devant l’autre parent ? </v>
      </c>
      <c r="C186" s="1713"/>
      <c r="D186" s="1829"/>
      <c r="E186" s="1829"/>
      <c r="F186" s="1830"/>
      <c r="G186" s="1831"/>
      <c r="H186" s="1392">
        <v>1</v>
      </c>
      <c r="I186" s="27"/>
      <c r="J186" s="1842"/>
      <c r="K186" s="1837"/>
      <c r="L186" s="1839"/>
      <c r="M186" s="67"/>
      <c r="N186" s="590"/>
      <c r="O186" s="1844">
        <f t="shared" si="7"/>
        <v>1</v>
      </c>
      <c r="W186" s="25" t="s">
        <v>1775</v>
      </c>
    </row>
    <row r="187" spans="1:23" s="7" customFormat="1" ht="34" x14ac:dyDescent="0.2">
      <c r="A187" s="25" t="str">
        <f>BIBLE!E191</f>
        <v>E27</v>
      </c>
      <c r="B187" s="25" t="str">
        <f>BIBLE!F191</f>
        <v>Dans quelle mesure notez-vous un changement au niveau du comportement de votre enfant à son retour de garde ?</v>
      </c>
      <c r="C187" s="1713"/>
      <c r="D187" s="1829"/>
      <c r="E187" s="1829"/>
      <c r="F187" s="1830"/>
      <c r="G187" s="1831"/>
      <c r="H187" s="1392">
        <v>1</v>
      </c>
      <c r="I187" s="27"/>
      <c r="J187" s="1842"/>
      <c r="K187" s="1837"/>
      <c r="L187" s="1839"/>
      <c r="M187" s="67"/>
      <c r="N187" s="590"/>
      <c r="O187" s="1844">
        <f t="shared" si="7"/>
        <v>1</v>
      </c>
      <c r="W187" s="25" t="s">
        <v>1775</v>
      </c>
    </row>
    <row r="188" spans="1:23" s="7" customFormat="1" ht="17" x14ac:dyDescent="0.2">
      <c r="A188" s="25" t="str">
        <f>BIBLE!E192</f>
        <v>E27a</v>
      </c>
      <c r="B188" s="25" t="str">
        <f>BIBLE!F192</f>
        <v>De manière générale, au retour d'un séjour chez l'autre parent, votre enfant vous paraît :</v>
      </c>
      <c r="C188" s="1713"/>
      <c r="D188" s="1829"/>
      <c r="E188" s="1829"/>
      <c r="F188" s="1830"/>
      <c r="G188" s="1831"/>
      <c r="H188" s="1392"/>
      <c r="I188" s="27"/>
      <c r="J188" s="1842"/>
      <c r="K188" s="1837"/>
      <c r="L188" s="1499">
        <v>1</v>
      </c>
      <c r="M188" s="67"/>
      <c r="N188" s="590"/>
      <c r="O188" s="1844">
        <f t="shared" si="7"/>
        <v>1</v>
      </c>
      <c r="W188" s="25" t="s">
        <v>1775</v>
      </c>
    </row>
    <row r="189" spans="1:23" s="7" customFormat="1" ht="34" x14ac:dyDescent="0.2">
      <c r="A189" s="25" t="str">
        <f>BIBLE!E193</f>
        <v>E27a1</v>
      </c>
      <c r="B189" s="25" t="str">
        <f>BIBLE!F193</f>
        <v>Au retour d’un séjour chez l’autre parent, votre enfant vous questionne sur vos décisions présentes ou passsées ou vous accable de reproches.</v>
      </c>
      <c r="C189" s="1713"/>
      <c r="D189" s="1829"/>
      <c r="E189" s="1829"/>
      <c r="F189" s="1830"/>
      <c r="G189" s="1831"/>
      <c r="H189" s="1392">
        <v>1</v>
      </c>
      <c r="I189" s="27"/>
      <c r="J189" s="1842"/>
      <c r="K189" s="1837"/>
      <c r="L189" s="1839"/>
      <c r="M189" s="67"/>
      <c r="N189" s="590"/>
      <c r="O189" s="1844">
        <f t="shared" si="7"/>
        <v>1</v>
      </c>
      <c r="W189" s="25" t="s">
        <v>1775</v>
      </c>
    </row>
    <row r="190" spans="1:23" s="7" customFormat="1" ht="34" x14ac:dyDescent="0.2">
      <c r="A190" s="25" t="str">
        <f>BIBLE!E194</f>
        <v>E28</v>
      </c>
      <c r="B190" s="25" t="str">
        <f>BIBLE!F194</f>
        <v>Votre enfant s'isole ou se cache (ex.: chambre ou toilettes) pour appeler l'autre parent afin qu'on n'entende pas ses conversations.</v>
      </c>
      <c r="C190" s="1713"/>
      <c r="D190" s="1829"/>
      <c r="E190" s="1829"/>
      <c r="F190" s="1830"/>
      <c r="G190" s="1831"/>
      <c r="H190" s="1392">
        <v>1</v>
      </c>
      <c r="I190" s="27"/>
      <c r="J190" s="1842"/>
      <c r="K190" s="1837"/>
      <c r="L190" s="1839"/>
      <c r="M190" s="67"/>
      <c r="N190" s="590"/>
      <c r="O190" s="1844">
        <f t="shared" si="7"/>
        <v>1</v>
      </c>
      <c r="W190" s="25" t="s">
        <v>1775</v>
      </c>
    </row>
    <row r="191" spans="1:23" s="7" customFormat="1" ht="34" x14ac:dyDescent="0.2">
      <c r="A191" s="25" t="str">
        <f>BIBLE!E195</f>
        <v>E29</v>
      </c>
      <c r="B191" s="25" t="str">
        <f>BIBLE!F195</f>
        <v>Dans quelle mesure diriez-vous que votre enfant adapte ses champs d’intérêts pour partager les intérêts de l’autre parent ?</v>
      </c>
      <c r="C191" s="1713"/>
      <c r="D191" s="1829"/>
      <c r="E191" s="1829"/>
      <c r="F191" s="1830"/>
      <c r="G191" s="1831"/>
      <c r="H191" s="1392"/>
      <c r="I191" s="27">
        <v>1</v>
      </c>
      <c r="J191" s="1842"/>
      <c r="K191" s="1837"/>
      <c r="L191" s="1839"/>
      <c r="M191" s="67">
        <v>1</v>
      </c>
      <c r="N191" s="590"/>
      <c r="O191" s="1844">
        <f t="shared" si="7"/>
        <v>1</v>
      </c>
      <c r="W191" s="25" t="s">
        <v>1775</v>
      </c>
    </row>
    <row r="192" spans="1:23" s="7" customFormat="1" ht="34" x14ac:dyDescent="0.2">
      <c r="A192" s="25" t="str">
        <f>BIBLE!E196</f>
        <v>E29a</v>
      </c>
      <c r="B192" s="25" t="str">
        <f>BIBLE!F196</f>
        <v>Dans quelle mesure diriez-vous que votre enfant rejette vos valeurs et vos champs d’intérêts.</v>
      </c>
      <c r="C192" s="1713"/>
      <c r="D192" s="1829"/>
      <c r="E192" s="1829"/>
      <c r="F192" s="1830"/>
      <c r="G192" s="1831"/>
      <c r="H192" s="1392"/>
      <c r="I192" s="27">
        <v>1</v>
      </c>
      <c r="J192" s="1842"/>
      <c r="K192" s="1837"/>
      <c r="L192" s="1839"/>
      <c r="M192" s="67">
        <v>1</v>
      </c>
      <c r="N192" s="590"/>
      <c r="O192" s="1844">
        <f t="shared" si="7"/>
        <v>1</v>
      </c>
      <c r="W192" s="25" t="s">
        <v>1775</v>
      </c>
    </row>
    <row r="193" spans="1:23" s="7" customFormat="1" ht="34" x14ac:dyDescent="0.2">
      <c r="A193" s="25" t="str">
        <f>BIBLE!E197</f>
        <v>E30</v>
      </c>
      <c r="B193" s="25" t="str">
        <f>BIBLE!F197</f>
        <v>Votre enfant réclame le droit de choisir les moments où il vous rend visite et la durée des visites chez vous.</v>
      </c>
      <c r="C193" s="1713"/>
      <c r="D193" s="1829"/>
      <c r="E193" s="1829"/>
      <c r="F193" s="1830"/>
      <c r="G193" s="1831"/>
      <c r="H193" s="1392">
        <v>1</v>
      </c>
      <c r="I193" s="27"/>
      <c r="J193" s="1842"/>
      <c r="K193" s="1837"/>
      <c r="L193" s="1839"/>
      <c r="M193" s="67"/>
      <c r="N193" s="590"/>
      <c r="O193" s="1844">
        <f t="shared" si="7"/>
        <v>1</v>
      </c>
      <c r="W193" s="25" t="s">
        <v>1775</v>
      </c>
    </row>
    <row r="194" spans="1:23" s="7" customFormat="1" ht="17" x14ac:dyDescent="0.2">
      <c r="A194" s="25" t="str">
        <f>BIBLE!E198</f>
        <v>E32</v>
      </c>
      <c r="B194" s="285" t="str">
        <f>BIBLE!F198</f>
        <v>Votre enfant vous accuse de mentir, de voler, etc.</v>
      </c>
      <c r="C194" s="1713"/>
      <c r="D194" s="1829"/>
      <c r="E194" s="1829"/>
      <c r="F194" s="1830"/>
      <c r="G194" s="1831"/>
      <c r="H194" s="1392">
        <v>1</v>
      </c>
      <c r="I194" s="27"/>
      <c r="J194" s="1842"/>
      <c r="K194" s="1837"/>
      <c r="L194" s="1839"/>
      <c r="M194" s="67"/>
      <c r="N194" s="590"/>
      <c r="O194" s="1844">
        <f t="shared" si="7"/>
        <v>1</v>
      </c>
      <c r="W194" s="25" t="s">
        <v>1775</v>
      </c>
    </row>
    <row r="195" spans="1:23" s="7" customFormat="1" ht="34" x14ac:dyDescent="0.2">
      <c r="A195" s="25" t="str">
        <f>BIBLE!E199</f>
        <v>E33</v>
      </c>
      <c r="B195" s="25" t="str">
        <f>BIBLE!F199</f>
        <v>Votre enfant vous reproche de lui manquer de respect en ne respectant pas ses choix, besoins, désirs, rythme, etc.</v>
      </c>
      <c r="C195" s="1713"/>
      <c r="D195" s="1829"/>
      <c r="E195" s="1829"/>
      <c r="F195" s="1830"/>
      <c r="G195" s="1831"/>
      <c r="H195" s="1392">
        <v>1</v>
      </c>
      <c r="I195" s="27"/>
      <c r="J195" s="1842"/>
      <c r="K195" s="1837"/>
      <c r="L195" s="1839"/>
      <c r="M195" s="67">
        <v>1</v>
      </c>
      <c r="N195" s="590"/>
      <c r="O195" s="1844">
        <f t="shared" si="7"/>
        <v>1</v>
      </c>
      <c r="W195" s="25" t="s">
        <v>1775</v>
      </c>
    </row>
    <row r="196" spans="1:23" s="7" customFormat="1" ht="34" x14ac:dyDescent="0.2">
      <c r="A196" s="25" t="str">
        <f>BIBLE!E200</f>
        <v>E33a</v>
      </c>
      <c r="B196" s="25" t="str">
        <f>BIBLE!F200</f>
        <v>Votre enfant demande à changer les termes de la garde afin de passer plus de temps chez l’autre parent.</v>
      </c>
      <c r="C196" s="1713"/>
      <c r="D196" s="1829"/>
      <c r="E196" s="1829"/>
      <c r="F196" s="1830"/>
      <c r="G196" s="1831"/>
      <c r="H196" s="1392">
        <v>1</v>
      </c>
      <c r="I196" s="27"/>
      <c r="J196" s="1842"/>
      <c r="K196" s="1837"/>
      <c r="L196" s="1839"/>
      <c r="M196" s="67">
        <v>1</v>
      </c>
      <c r="N196" s="590"/>
      <c r="O196" s="1844">
        <f t="shared" si="7"/>
        <v>1</v>
      </c>
      <c r="W196" s="25" t="s">
        <v>1775</v>
      </c>
    </row>
    <row r="197" spans="1:23" s="7" customFormat="1" ht="34" x14ac:dyDescent="0.2">
      <c r="A197" s="25" t="str">
        <f>BIBLE!E201</f>
        <v>E33b</v>
      </c>
      <c r="B197" s="25" t="str">
        <f>BIBLE!F201</f>
        <v xml:space="preserve">Votre enfant vous informe qu’à 12 ou 14 ans, le droit de choisir les modalités de garde lui reviendrait. </v>
      </c>
      <c r="C197" s="1713"/>
      <c r="D197" s="1829"/>
      <c r="E197" s="1829"/>
      <c r="F197" s="1830"/>
      <c r="G197" s="1831"/>
      <c r="H197" s="1392">
        <v>1</v>
      </c>
      <c r="I197" s="27"/>
      <c r="J197" s="1842"/>
      <c r="K197" s="1837"/>
      <c r="L197" s="1839"/>
      <c r="M197" s="67">
        <v>1</v>
      </c>
      <c r="N197" s="590"/>
      <c r="O197" s="1844">
        <f t="shared" si="7"/>
        <v>1</v>
      </c>
      <c r="W197" s="25"/>
    </row>
    <row r="198" spans="1:23" s="7" customFormat="1" ht="17" x14ac:dyDescent="0.2">
      <c r="A198" s="25" t="str">
        <f>BIBLE!E202</f>
        <v>E34</v>
      </c>
      <c r="B198" s="25" t="str">
        <f>BIBLE!F202</f>
        <v xml:space="preserve">Votre enfant bloque les communications (tél., textos, réseaux sociaux, etc.). </v>
      </c>
      <c r="C198" s="1713"/>
      <c r="D198" s="1829"/>
      <c r="E198" s="1829"/>
      <c r="F198" s="1830"/>
      <c r="G198" s="1831"/>
      <c r="H198" s="1392">
        <v>1</v>
      </c>
      <c r="I198" s="27"/>
      <c r="J198" s="1842"/>
      <c r="K198" s="1837"/>
      <c r="L198" s="1839"/>
      <c r="M198" s="67"/>
      <c r="N198" s="590"/>
      <c r="O198" s="1844">
        <f t="shared" si="7"/>
        <v>1</v>
      </c>
      <c r="W198" s="25"/>
    </row>
    <row r="199" spans="1:23" s="7" customFormat="1" ht="34" x14ac:dyDescent="0.2">
      <c r="A199" s="25" t="str">
        <f>BIBLE!E203</f>
        <v>E35</v>
      </c>
      <c r="B199" s="25" t="str">
        <f>BIBLE!F203</f>
        <v>Comment qualiferiez-vous la relation entre votre enfant et votre famille élargie  (cousin.es, grands-parents, etc.) ?</v>
      </c>
      <c r="C199" s="1829"/>
      <c r="D199" s="1829"/>
      <c r="E199" s="1829"/>
      <c r="F199" s="1829"/>
      <c r="G199" s="1829"/>
      <c r="H199" s="1829"/>
      <c r="I199" s="1829"/>
      <c r="J199" s="1829"/>
      <c r="K199" s="1829"/>
      <c r="L199" s="1829"/>
      <c r="M199" s="67"/>
      <c r="N199" s="590"/>
      <c r="O199" s="1844"/>
      <c r="W199" s="25" t="s">
        <v>1775</v>
      </c>
    </row>
    <row r="200" spans="1:23" s="7" customFormat="1" ht="34" x14ac:dyDescent="0.2">
      <c r="A200" s="25" t="str">
        <f>BIBLE!E204</f>
        <v>E35a</v>
      </c>
      <c r="B200" s="25" t="str">
        <f>BIBLE!F204</f>
        <v>Dans quelle mesure diriez-vous que votre enfant accepte les contacts avec votre famille élargie  (cousin.es, grands-parents, etc.) ?</v>
      </c>
      <c r="C200" s="1713"/>
      <c r="D200" s="1829"/>
      <c r="E200" s="1829"/>
      <c r="F200" s="1830">
        <v>1</v>
      </c>
      <c r="G200" s="1831"/>
      <c r="H200" s="1392"/>
      <c r="I200" s="27"/>
      <c r="J200" s="1842"/>
      <c r="K200" s="1837"/>
      <c r="L200" s="1839"/>
      <c r="M200" s="67"/>
      <c r="N200" s="590"/>
      <c r="O200" s="1844">
        <f>C200+D200+E200+F200+G200+H200+I200+J200+K200+L200</f>
        <v>1</v>
      </c>
      <c r="W200" s="25"/>
    </row>
    <row r="201" spans="1:23" s="7" customFormat="1" ht="17" x14ac:dyDescent="0.2">
      <c r="A201" s="25" t="str">
        <f>BIBLE!E205</f>
        <v>E35b</v>
      </c>
      <c r="B201" s="25" t="str">
        <f>BIBLE!F205</f>
        <v>Comment était la relation de votre enfant avec la famille élargie avant la séparation ?</v>
      </c>
      <c r="C201" s="1713"/>
      <c r="D201" s="1829"/>
      <c r="E201" s="1829"/>
      <c r="F201" s="1830">
        <v>1</v>
      </c>
      <c r="G201" s="1831"/>
      <c r="H201" s="1392"/>
      <c r="I201" s="27"/>
      <c r="J201" s="1842"/>
      <c r="K201" s="1837"/>
      <c r="L201" s="1839"/>
      <c r="M201" s="67"/>
      <c r="N201" s="590"/>
      <c r="O201" s="1844">
        <f>C201+D201+E201+F201+G201+H201+I201+J201+K201+L201</f>
        <v>1</v>
      </c>
      <c r="W201" s="25" t="s">
        <v>1775</v>
      </c>
    </row>
    <row r="202" spans="1:23" s="7" customFormat="1" ht="17" x14ac:dyDescent="0.2">
      <c r="A202" s="25" t="str">
        <f>BIBLE!E206</f>
        <v>E36</v>
      </c>
      <c r="B202" s="25" t="str">
        <f>BIBLE!F206</f>
        <v>Est-ce que votre enfant présente des troubles psychosomatiques en ce moment?</v>
      </c>
      <c r="C202" s="1829"/>
      <c r="D202" s="1829"/>
      <c r="E202" s="1829"/>
      <c r="F202" s="1829"/>
      <c r="G202" s="1829"/>
      <c r="H202" s="1829"/>
      <c r="I202" s="1829"/>
      <c r="J202" s="1829"/>
      <c r="K202" s="1829"/>
      <c r="L202" s="1829"/>
      <c r="M202" s="67"/>
      <c r="N202" s="590"/>
      <c r="O202" s="1844"/>
      <c r="W202" s="25"/>
    </row>
    <row r="203" spans="1:23" s="7" customFormat="1" ht="34" x14ac:dyDescent="0.2">
      <c r="A203" s="25" t="str">
        <f>BIBLE!E207</f>
        <v>E36a</v>
      </c>
      <c r="B203" s="25" t="str">
        <f>BIBLE!F207</f>
        <v>Quelles sont les manifestations ou troubles psychosomatiques présents chez votre enfant et à quelle fréquence?</v>
      </c>
      <c r="C203" s="1713"/>
      <c r="D203" s="1829"/>
      <c r="E203" s="1829"/>
      <c r="F203" s="1830"/>
      <c r="G203" s="1831"/>
      <c r="H203" s="1392"/>
      <c r="I203" s="27"/>
      <c r="J203" s="1842"/>
      <c r="K203" s="1851">
        <v>1</v>
      </c>
      <c r="L203" s="1839"/>
      <c r="M203" s="67"/>
      <c r="N203" s="590"/>
      <c r="O203" s="1844">
        <f>C203+D203+E203+F203+G203+H203+I203+J203+K203+L203</f>
        <v>1</v>
      </c>
      <c r="W203" s="25" t="s">
        <v>1775</v>
      </c>
    </row>
    <row r="204" spans="1:23" s="7" customFormat="1" ht="34" x14ac:dyDescent="0.2">
      <c r="A204" s="25" t="str">
        <f>BIBLE!E208</f>
        <v>E36a1</v>
      </c>
      <c r="B204" s="25" t="str">
        <f>BIBLE!F208</f>
        <v>Lesquelles de ces manifestations étaient déjà apparentes avant la séparation et à quelle fréquence?</v>
      </c>
      <c r="C204" s="1713"/>
      <c r="D204" s="1829"/>
      <c r="E204" s="1829"/>
      <c r="F204" s="1830"/>
      <c r="G204" s="1831"/>
      <c r="H204" s="1392"/>
      <c r="I204" s="27"/>
      <c r="J204" s="1842"/>
      <c r="K204" s="1851">
        <v>1</v>
      </c>
      <c r="L204" s="1839"/>
      <c r="M204" s="67"/>
      <c r="N204" s="590"/>
      <c r="O204" s="1844">
        <f>C204+D204+E204+F204+G204+H204+I204+J204+K204+L204</f>
        <v>1</v>
      </c>
      <c r="W204" s="25" t="s">
        <v>1775</v>
      </c>
    </row>
    <row r="205" spans="1:23" s="7" customFormat="1" ht="34" x14ac:dyDescent="0.2">
      <c r="A205" s="25" t="str">
        <f>BIBLE!E209</f>
        <v>E37</v>
      </c>
      <c r="B205" s="25" t="str">
        <f>BIBLE!F209</f>
        <v xml:space="preserve">Vous notez un changement de comportement chez votre enfant au moment de retouner chez l'autre parent (changement de garde). </v>
      </c>
      <c r="C205" s="1829"/>
      <c r="D205" s="1829"/>
      <c r="E205" s="1829"/>
      <c r="F205" s="1829"/>
      <c r="G205" s="1829"/>
      <c r="H205" s="1829"/>
      <c r="I205" s="1829"/>
      <c r="J205" s="1829"/>
      <c r="K205" s="1829"/>
      <c r="L205" s="1829"/>
      <c r="M205" s="67"/>
      <c r="N205" s="590"/>
      <c r="O205" s="1844"/>
      <c r="W205" s="25"/>
    </row>
    <row r="206" spans="1:23" s="7" customFormat="1" ht="34" x14ac:dyDescent="0.2">
      <c r="A206" s="25" t="str">
        <f>BIBLE!E210</f>
        <v>E37a</v>
      </c>
      <c r="B206" s="25" t="str">
        <f>BIBLE!F210</f>
        <v>Au moment de retouner chez l'autre parent (changement de garde), votre enfant vous paraît :</v>
      </c>
      <c r="C206" s="1713"/>
      <c r="D206" s="1829"/>
      <c r="E206" s="1829"/>
      <c r="F206" s="1830"/>
      <c r="G206" s="1831"/>
      <c r="H206" s="1392"/>
      <c r="I206" s="27"/>
      <c r="J206" s="1842"/>
      <c r="K206" s="1837"/>
      <c r="L206" s="1499">
        <v>1</v>
      </c>
      <c r="M206" s="67"/>
      <c r="N206" s="590"/>
      <c r="O206" s="1844">
        <f>C206+D206+E206+F206+G206+H206+I206+J206+K206+L206</f>
        <v>1</v>
      </c>
      <c r="W206" s="25" t="s">
        <v>1796</v>
      </c>
    </row>
    <row r="207" spans="1:23" s="7" customFormat="1" x14ac:dyDescent="0.2">
      <c r="A207" s="25"/>
      <c r="B207" s="25"/>
      <c r="C207" s="1713"/>
      <c r="D207" s="1829"/>
      <c r="E207" s="1829"/>
      <c r="F207" s="1830"/>
      <c r="G207" s="1831"/>
      <c r="H207" s="1392"/>
      <c r="I207" s="27"/>
      <c r="J207" s="1842"/>
      <c r="K207" s="1837"/>
      <c r="L207" s="1839"/>
      <c r="M207" s="67"/>
      <c r="N207" s="590"/>
      <c r="O207" s="1844">
        <f>C207+D207+E207+F207+G207+H207+I207+J207+K207+L207</f>
        <v>0</v>
      </c>
      <c r="W207" s="25"/>
    </row>
    <row r="208" spans="1:23" s="7" customFormat="1" x14ac:dyDescent="0.2">
      <c r="A208" s="25"/>
      <c r="B208" s="25"/>
      <c r="C208" s="1713"/>
      <c r="D208" s="1829"/>
      <c r="E208" s="1829"/>
      <c r="F208" s="1830"/>
      <c r="G208" s="1831"/>
      <c r="H208" s="1392"/>
      <c r="I208" s="27"/>
      <c r="J208" s="1842"/>
      <c r="K208" s="1837"/>
      <c r="L208" s="1839"/>
      <c r="M208" s="67"/>
      <c r="N208" s="590"/>
      <c r="O208" s="1844">
        <f>C208+D208+E208+F208+G208+H208+I208+J208+K208+L208</f>
        <v>0</v>
      </c>
      <c r="W208" s="25"/>
    </row>
    <row r="209" spans="1:23" s="7" customFormat="1" ht="68" x14ac:dyDescent="0.2">
      <c r="A209" s="25" t="str">
        <f>BIBLE!E213</f>
        <v>PCR20</v>
      </c>
      <c r="B209" s="25" t="str">
        <f>BIBLE!F213</f>
        <v xml:space="preserve">Au retour d’un séjour chez l’autre parent : 
Votre enfant est agressif envers vous et vous accable de reproches. Comment réagissez-vous ?
</v>
      </c>
      <c r="C209" s="1829"/>
      <c r="D209" s="1829"/>
      <c r="E209" s="1829"/>
      <c r="F209" s="1829"/>
      <c r="G209" s="1829"/>
      <c r="H209" s="1829"/>
      <c r="I209" s="1829"/>
      <c r="J209" s="1829"/>
      <c r="K209" s="1829"/>
      <c r="L209" s="1829"/>
      <c r="M209" s="67"/>
      <c r="N209" s="67" t="s">
        <v>1760</v>
      </c>
      <c r="O209" s="1844">
        <f>C209+D209+E209+F209+G209+H209+I209+J209+K209+L209</f>
        <v>0</v>
      </c>
      <c r="W209" s="25" t="s">
        <v>1796</v>
      </c>
    </row>
    <row r="210" spans="1:23" s="7" customFormat="1" ht="51" x14ac:dyDescent="0.2">
      <c r="A210" s="25" t="str">
        <f>BIBLE!E214</f>
        <v>PCR21</v>
      </c>
      <c r="B210" s="25" t="str">
        <f>BIBLE!F214</f>
        <v>Au retour d’un séjour chez l’autre parent :
Votre enfant vous accuse de mentir ou de voler l'argent de l'autre parent. Comment réagissez-vous ?</v>
      </c>
      <c r="C210" s="1829"/>
      <c r="D210" s="1829"/>
      <c r="E210" s="1829"/>
      <c r="F210" s="1829"/>
      <c r="G210" s="1829"/>
      <c r="H210" s="1829"/>
      <c r="I210" s="1829"/>
      <c r="J210" s="1829"/>
      <c r="K210" s="1829"/>
      <c r="L210" s="1829"/>
      <c r="M210" s="67"/>
      <c r="N210" s="67" t="s">
        <v>1760</v>
      </c>
      <c r="O210" s="1844">
        <f>C210+D210+E210+F210+G210+H210+I210+J210+K210+L210</f>
        <v>0</v>
      </c>
      <c r="W210" s="25" t="s">
        <v>1796</v>
      </c>
    </row>
    <row r="211" spans="1:23" s="7" customFormat="1" x14ac:dyDescent="0.2">
      <c r="A211" s="25"/>
      <c r="B211" s="25"/>
      <c r="C211" s="6"/>
      <c r="D211" s="6"/>
      <c r="E211" s="6"/>
      <c r="F211" s="6"/>
      <c r="G211" s="6"/>
      <c r="H211" s="6"/>
      <c r="I211" s="6"/>
      <c r="J211" s="6"/>
      <c r="K211" s="6"/>
      <c r="L211" s="6"/>
      <c r="M211" s="67"/>
      <c r="N211" s="67"/>
      <c r="O211" s="1844"/>
      <c r="W211" s="25"/>
    </row>
    <row r="212" spans="1:23" s="7" customFormat="1" x14ac:dyDescent="0.2">
      <c r="A212" s="25"/>
      <c r="B212" s="25"/>
      <c r="C212" s="6"/>
      <c r="D212" s="6"/>
      <c r="E212" s="6"/>
      <c r="F212" s="6"/>
      <c r="G212" s="6"/>
      <c r="H212" s="6"/>
      <c r="I212" s="6"/>
      <c r="J212" s="6"/>
      <c r="K212" s="6"/>
      <c r="L212" s="6"/>
      <c r="M212" s="67"/>
      <c r="N212" s="67"/>
      <c r="O212" s="1844"/>
      <c r="W212" s="25"/>
    </row>
    <row r="213" spans="1:23" s="7" customFormat="1" x14ac:dyDescent="0.2">
      <c r="A213" s="25"/>
      <c r="B213" s="25"/>
      <c r="C213" s="6"/>
      <c r="D213" s="6"/>
      <c r="E213" s="6"/>
      <c r="F213" s="6"/>
      <c r="G213" s="6"/>
      <c r="H213" s="6"/>
      <c r="I213" s="6"/>
      <c r="J213" s="6"/>
      <c r="K213" s="6"/>
      <c r="L213" s="6"/>
      <c r="M213" s="67"/>
      <c r="N213" s="67"/>
      <c r="O213" s="1844"/>
      <c r="W213" s="25"/>
    </row>
    <row r="214" spans="1:23" s="7" customFormat="1" x14ac:dyDescent="0.2">
      <c r="A214" s="25"/>
      <c r="B214" s="25"/>
      <c r="C214" s="6"/>
      <c r="D214" s="6"/>
      <c r="E214" s="6"/>
      <c r="F214" s="6"/>
      <c r="G214" s="6"/>
      <c r="H214" s="6"/>
      <c r="I214" s="6"/>
      <c r="J214" s="6"/>
      <c r="K214" s="6"/>
      <c r="L214" s="6"/>
      <c r="M214" s="67"/>
      <c r="N214" s="590"/>
      <c r="O214" s="1844"/>
      <c r="W214" s="25"/>
    </row>
    <row r="215" spans="1:23" s="7" customFormat="1" x14ac:dyDescent="0.2">
      <c r="A215" s="25"/>
      <c r="B215" s="25"/>
      <c r="C215" s="6"/>
      <c r="D215" s="6"/>
      <c r="E215" s="6"/>
      <c r="F215" s="6"/>
      <c r="G215" s="6"/>
      <c r="H215" s="6"/>
      <c r="I215" s="6"/>
      <c r="J215" s="6"/>
      <c r="K215" s="525"/>
      <c r="L215" s="525"/>
      <c r="M215" s="67"/>
      <c r="N215" s="590"/>
      <c r="O215" s="1844"/>
      <c r="W215" s="25"/>
    </row>
    <row r="216" spans="1:23" s="7" customFormat="1" ht="34" x14ac:dyDescent="0.2">
      <c r="A216" s="25" t="str">
        <f>BIBLE!E216</f>
        <v>NC00</v>
      </c>
      <c r="B216" s="25" t="str">
        <f>BIBLE!F216</f>
        <v>Comment qualifieriez-vous la relation de l'enfant avec le nouveau ou nouvelle conjoint.e du coparent?</v>
      </c>
      <c r="C216" s="1829"/>
      <c r="D216" s="1829"/>
      <c r="E216" s="1829"/>
      <c r="F216" s="1829"/>
      <c r="G216" s="1829"/>
      <c r="H216" s="1829"/>
      <c r="I216" s="1829"/>
      <c r="J216" s="1829"/>
      <c r="K216" s="1843"/>
      <c r="L216" s="1843"/>
      <c r="M216" s="67"/>
      <c r="N216" s="590"/>
      <c r="O216" s="1844" t="s">
        <v>1756</v>
      </c>
      <c r="W216" s="25"/>
    </row>
    <row r="217" spans="1:23" s="7" customFormat="1" ht="17" x14ac:dyDescent="0.2">
      <c r="A217" s="25" t="str">
        <f>BIBLE!E217</f>
        <v>NC01</v>
      </c>
      <c r="B217" s="25" t="str">
        <f>BIBLE!F217</f>
        <v>Le nouveau ou nouvelle conjoint·e joue un rôle de confident·e auprès de votre enfant.</v>
      </c>
      <c r="C217" s="1713"/>
      <c r="D217" s="1829"/>
      <c r="E217" s="1829"/>
      <c r="F217" s="1830"/>
      <c r="G217" s="1831"/>
      <c r="H217" s="1392">
        <v>1</v>
      </c>
      <c r="I217" s="27"/>
      <c r="J217" s="1842"/>
      <c r="K217" s="1837"/>
      <c r="L217" s="1839"/>
      <c r="M217" s="67"/>
      <c r="N217" s="590"/>
      <c r="O217" s="1844">
        <f t="shared" ref="O217:O234" si="8">C217+D217+E217+F217+G217+H217+I217+J217+K217+L217</f>
        <v>1</v>
      </c>
      <c r="W217" s="25" t="s">
        <v>1775</v>
      </c>
    </row>
    <row r="218" spans="1:23" s="7" customFormat="1" ht="17" x14ac:dyDescent="0.2">
      <c r="A218" s="25" t="str">
        <f>BIBLE!E218</f>
        <v>NC01a</v>
      </c>
      <c r="B218" s="25" t="str">
        <f>BIBLE!F218</f>
        <v>Dans quelle mesure cette relation de confident·e vous apparaît être saine ?</v>
      </c>
      <c r="C218" s="1713">
        <v>1</v>
      </c>
      <c r="D218" s="1829"/>
      <c r="E218" s="1829"/>
      <c r="F218" s="1830"/>
      <c r="G218" s="1831"/>
      <c r="H218" s="1392">
        <v>1</v>
      </c>
      <c r="I218" s="27"/>
      <c r="J218" s="1842"/>
      <c r="K218" s="1837"/>
      <c r="L218" s="1839"/>
      <c r="M218" s="67"/>
      <c r="N218" s="590"/>
      <c r="O218" s="1844">
        <f t="shared" si="8"/>
        <v>2</v>
      </c>
      <c r="W218" s="25"/>
    </row>
    <row r="219" spans="1:23" s="7" customFormat="1" ht="34" x14ac:dyDescent="0.2">
      <c r="A219" s="25" t="str">
        <f>BIBLE!E219</f>
        <v>NC02</v>
      </c>
      <c r="B219" s="25" t="str">
        <f>BIBLE!F219</f>
        <v>Le nouveau ou nouvelle conjoint·e laisse entendre à votre enfant qu’il ou elle n’est pas en sécurité avec vous.</v>
      </c>
      <c r="C219" s="1713"/>
      <c r="D219" s="1829"/>
      <c r="E219" s="1829"/>
      <c r="F219" s="1830"/>
      <c r="G219" s="1831"/>
      <c r="H219" s="1392">
        <v>1</v>
      </c>
      <c r="I219" s="27"/>
      <c r="J219" s="1842"/>
      <c r="K219" s="1837"/>
      <c r="L219" s="1839"/>
      <c r="M219" s="67"/>
      <c r="N219" s="590"/>
      <c r="O219" s="1844">
        <f t="shared" si="8"/>
        <v>1</v>
      </c>
      <c r="W219" s="25"/>
    </row>
    <row r="220" spans="1:23" s="7" customFormat="1" ht="34" x14ac:dyDescent="0.2">
      <c r="A220" s="25" t="str">
        <f>BIBLE!E220</f>
        <v>NC03</v>
      </c>
      <c r="B220" s="25" t="str">
        <f>BIBLE!F220</f>
        <v>Le nouveau ou nouvelle conjoint·e vous salue lors de changements de garde, à l'école ou lors d'événements culturels ou sportifs.</v>
      </c>
      <c r="C220" s="1713"/>
      <c r="D220" s="1829"/>
      <c r="E220" s="1829"/>
      <c r="F220" s="1830"/>
      <c r="G220" s="1831"/>
      <c r="H220" s="1392">
        <v>1</v>
      </c>
      <c r="I220" s="27"/>
      <c r="J220" s="1842"/>
      <c r="K220" s="1837"/>
      <c r="L220" s="1839"/>
      <c r="M220" s="67"/>
      <c r="N220" s="590"/>
      <c r="O220" s="1844">
        <f t="shared" si="8"/>
        <v>1</v>
      </c>
      <c r="W220" s="25" t="s">
        <v>1775</v>
      </c>
    </row>
    <row r="221" spans="1:23" s="7" customFormat="1" ht="34" x14ac:dyDescent="0.2">
      <c r="A221" s="25" t="str">
        <f>BIBLE!E221</f>
        <v>NC04</v>
      </c>
      <c r="B221" s="25" t="str">
        <f>BIBLE!F221</f>
        <v>Comment qualifieriez-vous votre relation avec le nouveau ou nouvelle conjoint·e de l'autre parent ?</v>
      </c>
      <c r="C221" s="1829"/>
      <c r="D221" s="1829"/>
      <c r="E221" s="1829"/>
      <c r="F221" s="1829"/>
      <c r="G221" s="1829"/>
      <c r="H221" s="1829"/>
      <c r="I221" s="1829"/>
      <c r="J221" s="1829"/>
      <c r="K221" s="1843"/>
      <c r="L221" s="1843"/>
      <c r="M221" s="67"/>
      <c r="N221" s="590"/>
      <c r="O221" s="1844">
        <f t="shared" si="8"/>
        <v>0</v>
      </c>
      <c r="W221" s="25"/>
    </row>
    <row r="222" spans="1:23" s="7" customFormat="1" ht="34" x14ac:dyDescent="0.2">
      <c r="A222" s="25" t="str">
        <f>BIBLE!E222</f>
        <v>NC04a</v>
      </c>
      <c r="B222" s="25" t="str">
        <f>BIBLE!F222</f>
        <v>Le nouveau ou nouvelle conjoint·e dénigre vos compétences parentales par texto, courriel ou autres?</v>
      </c>
      <c r="C222" s="1713"/>
      <c r="D222" s="1829"/>
      <c r="E222" s="1829"/>
      <c r="F222" s="1830"/>
      <c r="G222" s="1831"/>
      <c r="H222" s="1392">
        <v>2</v>
      </c>
      <c r="I222" s="27"/>
      <c r="J222" s="1842"/>
      <c r="K222" s="1837"/>
      <c r="L222" s="1839"/>
      <c r="M222" s="67"/>
      <c r="N222" s="590"/>
      <c r="O222" s="1844">
        <f t="shared" si="8"/>
        <v>2</v>
      </c>
      <c r="W222" s="25" t="s">
        <v>1775</v>
      </c>
    </row>
    <row r="223" spans="1:23" s="7" customFormat="1" ht="34" x14ac:dyDescent="0.2">
      <c r="A223" s="25" t="str">
        <f>BIBLE!E223</f>
        <v>NC04a1</v>
      </c>
      <c r="B223" s="25" t="str">
        <f>BIBLE!F223</f>
        <v>Arrive-t-il que le nouveau ou nouvelle conjoint·e vous critique ou dénigre vos compétences parentales devant votre enfant ?</v>
      </c>
      <c r="C223" s="1713"/>
      <c r="D223" s="1829"/>
      <c r="E223" s="1829"/>
      <c r="F223" s="1830"/>
      <c r="G223" s="1831"/>
      <c r="H223" s="1392">
        <v>2</v>
      </c>
      <c r="I223" s="27"/>
      <c r="J223" s="1842"/>
      <c r="K223" s="1837"/>
      <c r="L223" s="1839"/>
      <c r="M223" s="67"/>
      <c r="N223" s="590"/>
      <c r="O223" s="1844">
        <f t="shared" si="8"/>
        <v>2</v>
      </c>
      <c r="W223" s="25" t="s">
        <v>1775</v>
      </c>
    </row>
    <row r="224" spans="1:23" s="7" customFormat="1" ht="17" x14ac:dyDescent="0.2">
      <c r="A224" s="25" t="str">
        <f>BIBLE!E224</f>
        <v>NC04b</v>
      </c>
      <c r="B224" s="25" t="str">
        <f>BIBLE!F224</f>
        <v xml:space="preserve">Arrive-t-il que le nouveau ou nouvelle conjoint·e dénigre votre famille devant votre enfant ? </v>
      </c>
      <c r="C224" s="1713"/>
      <c r="D224" s="1829"/>
      <c r="E224" s="1829"/>
      <c r="F224" s="1830"/>
      <c r="G224" s="1831"/>
      <c r="H224" s="1392">
        <v>1</v>
      </c>
      <c r="I224" s="27"/>
      <c r="J224" s="1842"/>
      <c r="K224" s="1837"/>
      <c r="L224" s="1839"/>
      <c r="M224" s="67"/>
      <c r="N224" s="590"/>
      <c r="O224" s="1844">
        <f t="shared" si="8"/>
        <v>1</v>
      </c>
      <c r="W224" s="25" t="s">
        <v>1775</v>
      </c>
    </row>
    <row r="225" spans="1:23" s="7" customFormat="1" ht="34" x14ac:dyDescent="0.2">
      <c r="A225" s="25" t="str">
        <f>BIBLE!E225</f>
        <v>NC07</v>
      </c>
      <c r="B225" s="25" t="str">
        <f>BIBLE!F225</f>
        <v xml:space="preserve">Le nouveau ou nouvelle conjoint·e apporte des changements à l’horaire de garde sans vous consulter au préalable ou sans votre autorisation. </v>
      </c>
      <c r="C225" s="1713"/>
      <c r="D225" s="1829"/>
      <c r="E225" s="1829"/>
      <c r="F225" s="1830"/>
      <c r="G225" s="1831"/>
      <c r="H225" s="1392">
        <v>1</v>
      </c>
      <c r="I225" s="27"/>
      <c r="J225" s="1842"/>
      <c r="K225" s="1837"/>
      <c r="L225" s="1839"/>
      <c r="M225" s="67"/>
      <c r="N225" s="590"/>
      <c r="O225" s="1844">
        <f t="shared" si="8"/>
        <v>1</v>
      </c>
      <c r="W225" s="25" t="s">
        <v>1775</v>
      </c>
    </row>
    <row r="226" spans="1:23" s="7" customFormat="1" ht="34" x14ac:dyDescent="0.2">
      <c r="A226" s="25" t="str">
        <f>BIBLE!E226</f>
        <v>NC07a</v>
      </c>
      <c r="B226" s="25" t="str">
        <f>BIBLE!F226</f>
        <v xml:space="preserve">Arrive-t-il que le nouveau ou nouvelle conjoint·e organise des activités sur votre temps de garde ? </v>
      </c>
      <c r="C226" s="1713"/>
      <c r="D226" s="1829"/>
      <c r="E226" s="1829"/>
      <c r="F226" s="1830"/>
      <c r="G226" s="1831"/>
      <c r="H226" s="1392">
        <v>1</v>
      </c>
      <c r="I226" s="27"/>
      <c r="J226" s="1842"/>
      <c r="K226" s="1837"/>
      <c r="L226" s="1839"/>
      <c r="M226" s="67"/>
      <c r="N226" s="590"/>
      <c r="O226" s="1844">
        <f t="shared" si="8"/>
        <v>1</v>
      </c>
      <c r="W226" s="25" t="s">
        <v>1775</v>
      </c>
    </row>
    <row r="227" spans="1:23" s="7" customFormat="1" ht="34" x14ac:dyDescent="0.2">
      <c r="A227" s="25" t="str">
        <f>BIBLE!E227</f>
        <v>NC09</v>
      </c>
      <c r="B227" s="25" t="str">
        <f>BIBLE!F227</f>
        <v xml:space="preserve">Le nouveau ou nouvelle conjoint·e se présente à la sortie des classes, au service de garde ou à la garderie sur votre temps de garde. </v>
      </c>
      <c r="C227" s="1713">
        <v>1</v>
      </c>
      <c r="D227" s="1829"/>
      <c r="E227" s="1829"/>
      <c r="F227" s="1830"/>
      <c r="G227" s="1831"/>
      <c r="H227" s="1392"/>
      <c r="I227" s="27"/>
      <c r="J227" s="1842"/>
      <c r="K227" s="1837"/>
      <c r="L227" s="1839"/>
      <c r="M227" s="67"/>
      <c r="N227" s="590"/>
      <c r="O227" s="1844">
        <f t="shared" si="8"/>
        <v>1</v>
      </c>
      <c r="W227" s="25" t="s">
        <v>1775</v>
      </c>
    </row>
    <row r="228" spans="1:23" s="7" customFormat="1" ht="34" x14ac:dyDescent="0.2">
      <c r="A228" s="25" t="str">
        <f>BIBLE!E228</f>
        <v>NC10</v>
      </c>
      <c r="B228" s="25" t="str">
        <f>BIBLE!F228</f>
        <v>Arrive-t-il que le nouveau ou nouvelle conjoint·e interfère, écoute ou écourte vos conversations téléphoniques avec votre enfant ?</v>
      </c>
      <c r="C228" s="1713"/>
      <c r="D228" s="1829"/>
      <c r="E228" s="1829"/>
      <c r="F228" s="1830"/>
      <c r="G228" s="1831"/>
      <c r="H228" s="1392">
        <v>1</v>
      </c>
      <c r="I228" s="27"/>
      <c r="J228" s="1842"/>
      <c r="K228" s="1837"/>
      <c r="L228" s="1839"/>
      <c r="M228" s="67"/>
      <c r="N228" s="590"/>
      <c r="O228" s="1844">
        <f t="shared" si="8"/>
        <v>1</v>
      </c>
      <c r="W228" s="25" t="s">
        <v>1775</v>
      </c>
    </row>
    <row r="229" spans="1:23" s="7" customFormat="1" ht="34" x14ac:dyDescent="0.2">
      <c r="A229" s="25" t="str">
        <f>BIBLE!E229</f>
        <v>NC11</v>
      </c>
      <c r="B229" s="25" t="str">
        <f>BIBLE!F229</f>
        <v xml:space="preserve">Le nouveau ou nouvelle conjoint·e est responsable de la logistique familiale (communications scolaires, rendez-vous médicaux, etc.). </v>
      </c>
      <c r="C229" s="1713"/>
      <c r="D229" s="1829"/>
      <c r="E229" s="1829"/>
      <c r="F229" s="1830"/>
      <c r="G229" s="1831"/>
      <c r="H229" s="1392">
        <v>1</v>
      </c>
      <c r="I229" s="27"/>
      <c r="J229" s="1842"/>
      <c r="K229" s="1837"/>
      <c r="L229" s="1839"/>
      <c r="M229" s="67"/>
      <c r="N229" s="590"/>
      <c r="O229" s="1844">
        <f t="shared" si="8"/>
        <v>1</v>
      </c>
      <c r="W229" s="25" t="s">
        <v>1775</v>
      </c>
    </row>
    <row r="230" spans="1:23" s="7" customFormat="1" ht="34" x14ac:dyDescent="0.2">
      <c r="A230" s="25" t="str">
        <f>BIBLE!E230</f>
        <v>NC12</v>
      </c>
      <c r="B230" s="25" t="str">
        <f>BIBLE!F230</f>
        <v>À quelle fréquence le nouveau ou nouvelle conjoint·e communique-t-il ou elle avec votre enfant durant votre temps de garde ?</v>
      </c>
      <c r="C230" s="1713"/>
      <c r="D230" s="1829"/>
      <c r="E230" s="1829"/>
      <c r="F230" s="1830"/>
      <c r="G230" s="1831"/>
      <c r="H230" s="1392">
        <v>1</v>
      </c>
      <c r="I230" s="27"/>
      <c r="J230" s="1842"/>
      <c r="K230" s="1837"/>
      <c r="L230" s="1839"/>
      <c r="M230" s="67"/>
      <c r="N230" s="590"/>
      <c r="O230" s="1844">
        <f t="shared" si="8"/>
        <v>1</v>
      </c>
      <c r="W230" s="25" t="s">
        <v>1775</v>
      </c>
    </row>
    <row r="231" spans="1:23" s="7" customFormat="1" ht="34" x14ac:dyDescent="0.2">
      <c r="A231" s="25" t="str">
        <f>BIBLE!E231</f>
        <v>NC13</v>
      </c>
      <c r="B231" s="25" t="str">
        <f>BIBLE!F231</f>
        <v>Le nouveau ou nouvelle conjoint·e demande aux personnes gravitant autour de votre enfant de ne PAS vous communiquer de l'information à son sujet.</v>
      </c>
      <c r="C231" s="1713"/>
      <c r="D231" s="1829"/>
      <c r="E231" s="1829"/>
      <c r="F231" s="1830"/>
      <c r="G231" s="1831">
        <v>1</v>
      </c>
      <c r="H231" s="1392"/>
      <c r="I231" s="27"/>
      <c r="J231" s="1842"/>
      <c r="K231" s="1837"/>
      <c r="L231" s="1839"/>
      <c r="M231" s="67"/>
      <c r="N231" s="590"/>
      <c r="O231" s="1844">
        <f t="shared" si="8"/>
        <v>1</v>
      </c>
      <c r="W231" s="25" t="s">
        <v>1775</v>
      </c>
    </row>
    <row r="232" spans="1:23" s="7" customFormat="1" ht="17" x14ac:dyDescent="0.2">
      <c r="A232" s="25" t="str">
        <f>BIBLE!E232</f>
        <v>NC14</v>
      </c>
      <c r="B232" s="25" t="str">
        <f>BIBLE!F232</f>
        <v>Le nouveau ou nouvelle conjoint·e demande à votre enfant de l'appeler maman ou papa.</v>
      </c>
      <c r="C232" s="1713"/>
      <c r="D232" s="1829"/>
      <c r="E232" s="1829"/>
      <c r="F232" s="1830"/>
      <c r="G232" s="1831"/>
      <c r="H232" s="1392">
        <v>1</v>
      </c>
      <c r="I232" s="27"/>
      <c r="J232" s="1842"/>
      <c r="K232" s="1837"/>
      <c r="L232" s="1839"/>
      <c r="M232" s="67"/>
      <c r="N232" s="590"/>
      <c r="O232" s="1844">
        <f t="shared" si="8"/>
        <v>1</v>
      </c>
      <c r="W232" s="25" t="s">
        <v>1775</v>
      </c>
    </row>
    <row r="233" spans="1:23" s="7" customFormat="1" ht="34" x14ac:dyDescent="0.2">
      <c r="A233" s="25" t="str">
        <f>BIBLE!E233</f>
        <v>NC15</v>
      </c>
      <c r="B233" s="25" t="str">
        <f>BIBLE!F233</f>
        <v>Dans quelle mesure diriez-vous que votre relation avec votre enfant est fragilisée depuis l'arrivée du nouveau ou nouvelle conjoint·e ?</v>
      </c>
      <c r="C233" s="1713">
        <v>1</v>
      </c>
      <c r="D233" s="1829"/>
      <c r="E233" s="1829"/>
      <c r="F233" s="1830"/>
      <c r="G233" s="1831"/>
      <c r="H233" s="1392"/>
      <c r="I233" s="27"/>
      <c r="J233" s="1842"/>
      <c r="K233" s="1837"/>
      <c r="L233" s="1839"/>
      <c r="M233" s="67"/>
      <c r="N233" s="590"/>
      <c r="O233" s="1844">
        <f t="shared" si="8"/>
        <v>1</v>
      </c>
      <c r="W233" s="25"/>
    </row>
    <row r="234" spans="1:23" s="7" customFormat="1" ht="34" x14ac:dyDescent="0.2">
      <c r="A234" s="25" t="str">
        <f>BIBLE!E234</f>
        <v>NC16</v>
      </c>
      <c r="B234" s="25" t="str">
        <f>BIBLE!F234</f>
        <v>Est-ce que le nouveau ou nouvelle conjoint·e vous demande de respecter les désirs et choix de votre enfant ?</v>
      </c>
      <c r="C234" s="1713"/>
      <c r="D234" s="1829"/>
      <c r="E234" s="1829"/>
      <c r="F234" s="1830"/>
      <c r="G234" s="1831"/>
      <c r="H234" s="1392">
        <v>1</v>
      </c>
      <c r="I234" s="27"/>
      <c r="J234" s="1842"/>
      <c r="K234" s="1837"/>
      <c r="L234" s="1839"/>
      <c r="M234" s="67"/>
      <c r="N234" s="590"/>
      <c r="O234" s="1844">
        <f t="shared" si="8"/>
        <v>1</v>
      </c>
      <c r="W234" s="25" t="s">
        <v>1775</v>
      </c>
    </row>
    <row r="235" spans="1:23" s="7" customFormat="1" x14ac:dyDescent="0.2">
      <c r="A235" s="25"/>
      <c r="B235" s="25"/>
      <c r="C235" s="6"/>
      <c r="D235" s="6"/>
      <c r="E235" s="6"/>
      <c r="F235" s="6"/>
      <c r="G235" s="6"/>
      <c r="H235" s="6"/>
      <c r="I235" s="6"/>
      <c r="J235" s="6"/>
      <c r="K235" s="525"/>
      <c r="L235" s="525"/>
      <c r="M235" s="67"/>
      <c r="N235" s="590"/>
      <c r="O235" s="1844"/>
      <c r="W235" s="25"/>
    </row>
    <row r="236" spans="1:23" s="7" customFormat="1" x14ac:dyDescent="0.2">
      <c r="A236" s="25"/>
      <c r="B236" s="25"/>
      <c r="C236" s="6"/>
      <c r="D236" s="6"/>
      <c r="E236" s="6"/>
      <c r="F236" s="6"/>
      <c r="G236" s="6"/>
      <c r="H236" s="6"/>
      <c r="I236" s="6"/>
      <c r="J236" s="6"/>
      <c r="K236" s="525"/>
      <c r="L236" s="525"/>
      <c r="M236" s="67"/>
      <c r="N236" s="590"/>
      <c r="O236" s="1844"/>
      <c r="W236" s="25"/>
    </row>
    <row r="237" spans="1:23" s="7" customFormat="1" x14ac:dyDescent="0.2">
      <c r="A237" s="25"/>
      <c r="B237" s="25"/>
      <c r="C237" s="6"/>
      <c r="D237" s="6"/>
      <c r="E237" s="6"/>
      <c r="F237" s="6"/>
      <c r="G237" s="6"/>
      <c r="H237" s="6"/>
      <c r="I237" s="6"/>
      <c r="J237" s="6"/>
      <c r="K237" s="525"/>
      <c r="L237" s="525"/>
      <c r="M237" s="67"/>
      <c r="N237" s="590"/>
      <c r="O237" s="1844"/>
      <c r="W237" s="25"/>
    </row>
    <row r="238" spans="1:23" s="7" customFormat="1" x14ac:dyDescent="0.2">
      <c r="A238" s="25"/>
      <c r="B238" s="25"/>
      <c r="C238" s="6"/>
      <c r="D238" s="6"/>
      <c r="E238" s="6"/>
      <c r="F238" s="6"/>
      <c r="G238" s="6"/>
      <c r="H238" s="6"/>
      <c r="I238" s="6"/>
      <c r="J238" s="6"/>
      <c r="K238" s="525"/>
      <c r="L238" s="525"/>
      <c r="M238" s="67"/>
      <c r="N238" s="590"/>
      <c r="O238" s="1844"/>
      <c r="W238" s="25"/>
    </row>
    <row r="239" spans="1:23" s="7" customFormat="1" x14ac:dyDescent="0.2">
      <c r="A239" s="25"/>
      <c r="B239" s="25"/>
      <c r="C239" s="6"/>
      <c r="D239" s="6"/>
      <c r="E239" s="6"/>
      <c r="F239" s="6"/>
      <c r="G239" s="6"/>
      <c r="H239" s="6"/>
      <c r="I239" s="6"/>
      <c r="J239" s="6"/>
      <c r="K239" s="525"/>
      <c r="L239" s="525"/>
      <c r="M239" s="67"/>
      <c r="N239" s="590"/>
      <c r="O239" s="1844"/>
      <c r="W239" s="25"/>
    </row>
    <row r="240" spans="1:23" s="7" customFormat="1" ht="17" x14ac:dyDescent="0.2">
      <c r="A240" s="25" t="str">
        <f>BIBLE!E240</f>
        <v>S01</v>
      </c>
      <c r="B240" s="25" t="str">
        <f>BIBLE!F240</f>
        <v xml:space="preserve">À quel groupe d'âge appartenez-vous? </v>
      </c>
      <c r="C240" s="1713"/>
      <c r="D240" s="1829"/>
      <c r="E240" s="1829"/>
      <c r="F240" s="1830"/>
      <c r="G240" s="1831"/>
      <c r="H240" s="1392"/>
      <c r="I240" s="27"/>
      <c r="J240" s="1842"/>
      <c r="K240" s="1837"/>
      <c r="L240" s="1839"/>
      <c r="M240" s="67"/>
      <c r="N240" s="590"/>
      <c r="O240" s="1844"/>
      <c r="W240" s="25" t="s">
        <v>1797</v>
      </c>
    </row>
    <row r="241" spans="1:23" s="7" customFormat="1" ht="51" x14ac:dyDescent="0.2">
      <c r="A241" s="25" t="str">
        <f>BIBLE!E241</f>
        <v>S02</v>
      </c>
      <c r="B241" s="25" t="str">
        <f>BIBLE!F241</f>
        <v xml:space="preserve">Êtes-vous en processus juridique actuellement? 
</v>
      </c>
      <c r="C241" s="1713"/>
      <c r="D241" s="1829"/>
      <c r="E241" s="1829"/>
      <c r="F241" s="1830"/>
      <c r="G241" s="1831"/>
      <c r="H241" s="1392"/>
      <c r="I241" s="27"/>
      <c r="J241" s="1842"/>
      <c r="K241" s="1837"/>
      <c r="L241" s="1839"/>
      <c r="M241" s="67"/>
      <c r="N241" s="590" t="s">
        <v>1772</v>
      </c>
      <c r="O241" s="1844"/>
      <c r="W241" s="25" t="s">
        <v>1797</v>
      </c>
    </row>
    <row r="242" spans="1:23" s="7" customFormat="1" ht="51" x14ac:dyDescent="0.2">
      <c r="A242" s="25" t="str">
        <f>BIBLE!E242</f>
        <v>S03</v>
      </c>
      <c r="B242" s="25" t="str">
        <f>BIBLE!F242</f>
        <v xml:space="preserve">Quelles sont les modalités de garde des enfants aujourd'hui?
</v>
      </c>
      <c r="C242" s="1713"/>
      <c r="D242" s="1829"/>
      <c r="E242" s="1829"/>
      <c r="F242" s="1830"/>
      <c r="G242" s="1831"/>
      <c r="H242" s="1392"/>
      <c r="I242" s="27"/>
      <c r="J242" s="1842"/>
      <c r="K242" s="1837"/>
      <c r="L242" s="1839"/>
      <c r="M242" s="67"/>
      <c r="N242" s="590" t="s">
        <v>1773</v>
      </c>
      <c r="O242" s="1844"/>
      <c r="W242" s="25" t="s">
        <v>1797</v>
      </c>
    </row>
    <row r="243" spans="1:23" s="7" customFormat="1" ht="68" x14ac:dyDescent="0.2">
      <c r="A243" s="25" t="str">
        <f>BIBLE!E243</f>
        <v>S03a</v>
      </c>
      <c r="B243" s="25" t="str">
        <f>BIBLE!F243</f>
        <v xml:space="preserve">Si vous avez répondu garde partagée (ou garde dite alternée), dans quelle proportion avez-vous la garde? 
</v>
      </c>
      <c r="C243" s="1713"/>
      <c r="D243" s="1829"/>
      <c r="E243" s="1829"/>
      <c r="F243" s="1830"/>
      <c r="G243" s="1831"/>
      <c r="H243" s="1392"/>
      <c r="I243" s="27"/>
      <c r="J243" s="1842"/>
      <c r="K243" s="1837"/>
      <c r="L243" s="1839"/>
      <c r="M243" s="67"/>
      <c r="N243" s="590"/>
      <c r="O243" s="1844"/>
      <c r="W243" s="25" t="s">
        <v>1797</v>
      </c>
    </row>
    <row r="244" spans="1:23" s="7" customFormat="1" ht="35" thickBot="1" x14ac:dyDescent="0.25">
      <c r="A244" s="25" t="str">
        <f>BIBLE!E244</f>
        <v>S04</v>
      </c>
      <c r="B244" s="25" t="str">
        <f>BIBLE!F244</f>
        <v xml:space="preserve">Durant l’enfance et avant 14 ans, est-ce que vous et/ou votre ex-conjoint·e (coparent) avez vécu l’une des situations familiales suivantes? Cochez les réponses qui s'appliquent. </v>
      </c>
      <c r="C244" s="1713"/>
      <c r="D244" s="1829"/>
      <c r="E244" s="1829"/>
      <c r="F244" s="1830"/>
      <c r="G244" s="1831"/>
      <c r="H244" s="1392"/>
      <c r="I244" s="27"/>
      <c r="J244" s="1842"/>
      <c r="K244" s="1837"/>
      <c r="L244" s="1839"/>
      <c r="M244" s="67"/>
      <c r="N244" s="590"/>
      <c r="O244" s="1845"/>
      <c r="W244" s="25" t="s">
        <v>1798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C124" workbookViewId="0">
      <selection activeCell="F128" sqref="F128"/>
    </sheetView>
  </sheetViews>
  <sheetFormatPr baseColWidth="10" defaultColWidth="11" defaultRowHeight="40" customHeight="1" x14ac:dyDescent="0.2"/>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09" customWidth="1"/>
    <col min="14" max="14" width="19.33203125" style="109" customWidth="1"/>
    <col min="15" max="15" width="36.33203125" style="604" customWidth="1"/>
    <col min="16" max="17" width="9.1640625" style="109" customWidth="1"/>
    <col min="18" max="18" width="27.5" style="109" customWidth="1"/>
    <col min="19" max="19" width="9" style="163" customWidth="1"/>
    <col min="20" max="21" width="9" style="110" customWidth="1"/>
    <col min="22" max="22" width="35.1640625" style="152" customWidth="1"/>
    <col min="23" max="24" width="5.6640625" style="5" customWidth="1"/>
    <col min="25" max="26" width="5.6640625" style="412" customWidth="1"/>
    <col min="27" max="30" width="5.6640625" style="138" customWidth="1"/>
    <col min="31" max="31" width="28.5" style="8" customWidth="1"/>
    <col min="32" max="33" width="13.6640625" style="990" customWidth="1"/>
    <col min="34" max="34" width="13.6640625" style="8" customWidth="1"/>
    <col min="35" max="35" width="13.6640625" style="267" customWidth="1"/>
    <col min="36" max="36" width="16.83203125" customWidth="1"/>
    <col min="37" max="47" width="13.6640625" customWidth="1"/>
  </cols>
  <sheetData>
    <row r="1" spans="4:51" ht="20" customHeight="1" x14ac:dyDescent="0.2">
      <c r="L1" s="542" t="s">
        <v>0</v>
      </c>
      <c r="M1" s="128" t="s">
        <v>1</v>
      </c>
      <c r="N1" s="544"/>
      <c r="O1" s="1530"/>
      <c r="P1" s="128"/>
      <c r="Q1" s="163"/>
      <c r="R1" s="163"/>
      <c r="S1" s="110"/>
      <c r="U1" s="290"/>
    </row>
    <row r="2" spans="4:51" ht="15" customHeight="1" x14ac:dyDescent="0.2">
      <c r="F2" s="953"/>
      <c r="L2" s="2481" t="s">
        <v>2</v>
      </c>
      <c r="M2" s="7" t="s">
        <v>3</v>
      </c>
      <c r="N2" s="545"/>
      <c r="O2" s="17" t="s">
        <v>1113</v>
      </c>
      <c r="P2" s="17"/>
      <c r="Q2" s="163"/>
      <c r="R2" s="163"/>
      <c r="S2" s="110"/>
      <c r="U2" s="290"/>
      <c r="AX2" s="7" t="s">
        <v>3</v>
      </c>
      <c r="AY2" t="str">
        <f>O2</f>
        <v xml:space="preserve">Jamais / Rarement / Occasionnellement / Régulièrement / Souvent / Toujours / S.O. </v>
      </c>
    </row>
    <row r="3" spans="4:51" ht="15" customHeight="1" x14ac:dyDescent="0.2">
      <c r="L3" s="2481"/>
      <c r="M3" s="7" t="s">
        <v>4</v>
      </c>
      <c r="N3" s="545"/>
      <c r="O3" s="17" t="s">
        <v>5</v>
      </c>
      <c r="P3" s="17"/>
      <c r="Q3" s="163"/>
      <c r="R3" s="163"/>
      <c r="S3" s="110"/>
      <c r="U3" s="290"/>
      <c r="AX3" s="7" t="s">
        <v>11</v>
      </c>
      <c r="AY3" t="str">
        <f>O9</f>
        <v>Toujours / Souvent / Régulièrement / Occasionnellement / Rarement / Jamais / S.O.</v>
      </c>
    </row>
    <row r="4" spans="4:51" ht="15" customHeight="1" x14ac:dyDescent="0.2">
      <c r="L4" s="2481"/>
      <c r="M4" s="7" t="s">
        <v>6</v>
      </c>
      <c r="N4" s="545"/>
      <c r="O4" s="17" t="s">
        <v>749</v>
      </c>
      <c r="P4" s="17"/>
      <c r="Q4" s="163"/>
      <c r="R4" s="163"/>
      <c r="S4" s="110"/>
      <c r="U4" s="290"/>
      <c r="AU4" t="s">
        <v>751</v>
      </c>
      <c r="AX4" s="7" t="s">
        <v>4</v>
      </c>
      <c r="AY4" t="str">
        <f>O3</f>
        <v xml:space="preserve">Excellente / Très bonne / Bonne / Moyenne / Faible / Mauvaise / S.O.   </v>
      </c>
    </row>
    <row r="5" spans="4:51" ht="15" customHeight="1" x14ac:dyDescent="0.2">
      <c r="L5" s="2481"/>
      <c r="M5" s="7" t="s">
        <v>7</v>
      </c>
      <c r="N5" s="545"/>
      <c r="O5" s="17" t="s">
        <v>1202</v>
      </c>
      <c r="P5" s="17"/>
      <c r="Q5" s="163"/>
      <c r="R5" s="163"/>
      <c r="S5" s="110"/>
      <c r="U5" s="290"/>
      <c r="AX5" s="813" t="s">
        <v>13</v>
      </c>
      <c r="AY5" t="str">
        <f>O10</f>
        <v xml:space="preserve">Mauvaise / Faible / Moyenne / Bonne / Très bonne / Excellente / S.O </v>
      </c>
    </row>
    <row r="6" spans="4:51" ht="15" customHeight="1" x14ac:dyDescent="0.2">
      <c r="L6" s="2481"/>
      <c r="M6" s="7" t="s">
        <v>121</v>
      </c>
      <c r="N6" s="545"/>
      <c r="O6" s="17" t="s">
        <v>1205</v>
      </c>
      <c r="P6" s="17"/>
      <c r="Q6" s="163"/>
      <c r="R6" s="163"/>
      <c r="S6" s="110"/>
      <c r="U6" s="290"/>
      <c r="AX6" s="813"/>
    </row>
    <row r="7" spans="4:51" ht="15" customHeight="1" x14ac:dyDescent="0.2">
      <c r="L7" s="843"/>
      <c r="M7" s="7" t="s">
        <v>9</v>
      </c>
      <c r="N7" s="545"/>
      <c r="O7" s="17" t="s">
        <v>1475</v>
      </c>
      <c r="P7" s="17"/>
      <c r="Q7" s="163"/>
      <c r="R7" s="163"/>
      <c r="S7" s="110"/>
      <c r="U7" s="290"/>
      <c r="AX7" s="812" t="s">
        <v>6</v>
      </c>
      <c r="AY7" t="str">
        <f>O4</f>
        <v>Tout à fait en désaccord / En désaccord /  Partiellement en désaccord /  Partiellement d’accord / D’accord / Tout à fait d’accord / S.O.</v>
      </c>
    </row>
    <row r="8" spans="4:51" ht="15" customHeight="1" x14ac:dyDescent="0.2">
      <c r="L8" s="843"/>
      <c r="M8" s="7" t="s">
        <v>1193</v>
      </c>
      <c r="N8" s="545"/>
      <c r="O8" s="17" t="s">
        <v>1474</v>
      </c>
      <c r="P8" s="17"/>
      <c r="Q8" s="163"/>
      <c r="R8" s="163"/>
      <c r="S8" s="110"/>
      <c r="U8" s="290"/>
      <c r="AX8" s="811" t="s">
        <v>15</v>
      </c>
      <c r="AY8" t="s">
        <v>750</v>
      </c>
    </row>
    <row r="9" spans="4:51" ht="15" customHeight="1" x14ac:dyDescent="0.2">
      <c r="L9" s="2482" t="s">
        <v>10</v>
      </c>
      <c r="M9" s="7" t="s">
        <v>11</v>
      </c>
      <c r="N9" s="545"/>
      <c r="O9" s="17" t="s">
        <v>1114</v>
      </c>
      <c r="P9" s="17"/>
      <c r="Q9" s="163"/>
      <c r="R9" s="163"/>
      <c r="S9" s="110"/>
      <c r="U9" s="290"/>
      <c r="AX9" s="7" t="s">
        <v>7</v>
      </c>
      <c r="AY9" t="str">
        <f>O5</f>
        <v xml:space="preserve">Nulle / Très faible / Faible / Moyenne / Élevée / Très élevée / S.O. </v>
      </c>
    </row>
    <row r="10" spans="4:51" ht="15" customHeight="1" x14ac:dyDescent="0.2">
      <c r="L10" s="2482"/>
      <c r="M10" s="813" t="s">
        <v>13</v>
      </c>
      <c r="N10" s="814" t="s">
        <v>1201</v>
      </c>
      <c r="O10" s="813" t="s">
        <v>14</v>
      </c>
      <c r="P10" s="813"/>
      <c r="Q10" s="1509"/>
      <c r="R10" s="1509"/>
      <c r="S10" s="1510"/>
      <c r="T10" s="1510"/>
      <c r="U10" s="1511"/>
      <c r="V10" s="1512"/>
      <c r="W10" s="291"/>
      <c r="AX10" s="813" t="s">
        <v>16</v>
      </c>
      <c r="AY10" t="str">
        <f>O13</f>
        <v>Totalement / Grandement / Moyennement / Un peu / Très peu / Pas du tout / S.O.</v>
      </c>
    </row>
    <row r="11" spans="4:51" ht="15" customHeight="1" x14ac:dyDescent="0.2">
      <c r="L11" s="2482"/>
      <c r="M11" s="17" t="s">
        <v>15</v>
      </c>
      <c r="N11" s="545" t="s">
        <v>1201</v>
      </c>
      <c r="O11" s="17" t="s">
        <v>750</v>
      </c>
      <c r="P11" s="17"/>
      <c r="Q11" s="163"/>
      <c r="R11" s="163"/>
      <c r="S11" s="110"/>
      <c r="U11" s="290"/>
      <c r="AU11" t="s">
        <v>751</v>
      </c>
      <c r="AX11" s="7" t="s">
        <v>8</v>
      </c>
      <c r="AY11" t="str">
        <f>O7</f>
        <v xml:space="preserve">Jamais / Rarement, au besoin / 1 à 2 fois semaine / 3 à 5 fois semaine / Presque tous les jours / Plusieurs fois par jour / S.O. </v>
      </c>
    </row>
    <row r="12" spans="4:51" ht="15" customHeight="1" x14ac:dyDescent="0.2">
      <c r="L12" s="2482"/>
      <c r="M12" s="17" t="s">
        <v>16</v>
      </c>
      <c r="N12" s="545"/>
      <c r="O12" s="17" t="s">
        <v>1203</v>
      </c>
      <c r="P12" s="17"/>
      <c r="Q12" s="163"/>
      <c r="R12" s="163"/>
      <c r="S12" s="110"/>
      <c r="U12" s="290"/>
      <c r="AX12" s="7" t="s">
        <v>9</v>
      </c>
      <c r="AY12" t="str">
        <f>O7</f>
        <v xml:space="preserve">Jamais / Rarement, au besoin / 1 à 2 fois semaine / 3 à 5 fois semaine / Presque tous les jours / Plusieurs fois par jour / S.O. </v>
      </c>
    </row>
    <row r="13" spans="4:51" ht="15" customHeight="1" x14ac:dyDescent="0.2">
      <c r="L13" s="2482"/>
      <c r="M13" s="7" t="s">
        <v>1204</v>
      </c>
      <c r="N13" s="545"/>
      <c r="O13" s="17" t="s">
        <v>1206</v>
      </c>
      <c r="P13" s="17"/>
      <c r="Q13" s="163"/>
      <c r="R13" s="163"/>
      <c r="S13" s="110"/>
      <c r="U13" s="290"/>
      <c r="AX13" s="813"/>
    </row>
    <row r="14" spans="4:51" ht="76" customHeight="1" x14ac:dyDescent="0.2">
      <c r="N14" s="17"/>
      <c r="O14" s="272" t="s">
        <v>1219</v>
      </c>
      <c r="P14" s="17"/>
      <c r="Q14" s="17"/>
      <c r="R14" s="17"/>
      <c r="S14" s="17"/>
    </row>
    <row r="15" spans="4:51" ht="20" customHeight="1" x14ac:dyDescent="0.25">
      <c r="D15" s="2483" t="s">
        <v>17</v>
      </c>
      <c r="E15" s="32"/>
      <c r="F15" s="95"/>
      <c r="G15" s="32"/>
      <c r="H15" s="95"/>
      <c r="I15" s="95"/>
      <c r="J15" s="32"/>
      <c r="K15" s="32"/>
      <c r="L15" s="487"/>
      <c r="M15" s="487"/>
      <c r="N15" s="487"/>
      <c r="O15" s="1514"/>
      <c r="P15" s="487"/>
      <c r="Q15" s="487"/>
      <c r="R15" s="487"/>
      <c r="T15" s="488"/>
      <c r="U15" s="488"/>
      <c r="W15" s="417"/>
      <c r="X15" s="417"/>
      <c r="Y15" s="412" t="s">
        <v>329</v>
      </c>
      <c r="AE15" s="991"/>
      <c r="AF15" s="992"/>
      <c r="AG15" s="992"/>
      <c r="AH15" s="991"/>
      <c r="AI15" s="993"/>
      <c r="AJ15" s="991"/>
    </row>
    <row r="16" spans="4:51" ht="18" customHeight="1" x14ac:dyDescent="0.25">
      <c r="D16" s="2483"/>
      <c r="E16" s="32"/>
      <c r="F16" s="95"/>
      <c r="G16" s="32"/>
      <c r="H16" s="95"/>
      <c r="I16" s="95"/>
      <c r="J16" s="32"/>
      <c r="K16" s="32"/>
      <c r="L16" s="487"/>
      <c r="M16" s="487"/>
      <c r="N16" s="487"/>
      <c r="O16" s="1514"/>
      <c r="P16" s="487"/>
      <c r="Q16" s="487"/>
      <c r="R16" s="487"/>
      <c r="S16" s="502"/>
      <c r="T16" s="499"/>
      <c r="U16" s="499"/>
      <c r="V16" s="806"/>
      <c r="W16" s="417"/>
      <c r="X16" s="417"/>
      <c r="AE16" s="991"/>
      <c r="AF16" s="992"/>
      <c r="AG16" s="992"/>
      <c r="AH16" s="991"/>
      <c r="AI16" s="993"/>
      <c r="AJ16" s="991"/>
    </row>
    <row r="17" spans="1:36" ht="55" customHeight="1" thickBot="1" x14ac:dyDescent="0.3">
      <c r="A17" s="2476" t="s">
        <v>693</v>
      </c>
      <c r="B17" s="2476"/>
      <c r="C17" s="2476"/>
      <c r="D17" s="2484"/>
      <c r="E17" s="95"/>
      <c r="F17" s="95"/>
      <c r="G17" s="95"/>
      <c r="H17" s="95" t="s">
        <v>19</v>
      </c>
      <c r="I17" s="95"/>
      <c r="J17" s="32" t="s">
        <v>20</v>
      </c>
      <c r="K17" s="32"/>
      <c r="L17" s="2477" t="s">
        <v>22</v>
      </c>
      <c r="M17" s="2477"/>
      <c r="N17" s="2477" t="s">
        <v>1</v>
      </c>
      <c r="O17" s="2477"/>
      <c r="P17" s="770"/>
      <c r="Q17" s="489" t="s">
        <v>320</v>
      </c>
      <c r="R17" s="489"/>
      <c r="S17" s="2485" t="s">
        <v>23</v>
      </c>
      <c r="T17" s="2485"/>
      <c r="U17" s="2485"/>
      <c r="V17" s="746" t="s">
        <v>18</v>
      </c>
      <c r="W17" s="417"/>
      <c r="X17" s="417"/>
      <c r="AE17" s="2486" t="s">
        <v>527</v>
      </c>
      <c r="AF17" s="2486"/>
      <c r="AG17" s="2486"/>
      <c r="AH17" s="2486" t="s">
        <v>362</v>
      </c>
      <c r="AI17" s="2486"/>
      <c r="AJ17" s="2486"/>
    </row>
    <row r="18" spans="1:36" ht="78" customHeight="1" thickBot="1" x14ac:dyDescent="0.25">
      <c r="A18" s="774" t="s">
        <v>745</v>
      </c>
      <c r="B18" s="772" t="s">
        <v>742</v>
      </c>
      <c r="C18" s="773" t="s">
        <v>740</v>
      </c>
      <c r="D18" s="776"/>
      <c r="E18" s="113"/>
      <c r="F18" s="490" t="s">
        <v>748</v>
      </c>
      <c r="G18" s="490" t="s">
        <v>783</v>
      </c>
      <c r="H18" s="95" t="s">
        <v>912</v>
      </c>
      <c r="I18" s="95" t="s">
        <v>913</v>
      </c>
      <c r="J18" s="491" t="s">
        <v>28</v>
      </c>
      <c r="K18" s="805" t="s">
        <v>21</v>
      </c>
      <c r="L18" s="804" t="s">
        <v>747</v>
      </c>
      <c r="M18" s="803" t="s">
        <v>484</v>
      </c>
      <c r="N18" s="492" t="s">
        <v>225</v>
      </c>
      <c r="O18" s="1515" t="s">
        <v>746</v>
      </c>
      <c r="P18" s="493" t="s">
        <v>226</v>
      </c>
      <c r="Q18" s="493" t="s">
        <v>321</v>
      </c>
      <c r="R18" s="493"/>
      <c r="S18" s="494" t="s">
        <v>29</v>
      </c>
      <c r="T18" s="495" t="s">
        <v>30</v>
      </c>
      <c r="U18" s="496" t="s">
        <v>31</v>
      </c>
      <c r="V18" s="497"/>
      <c r="W18" s="1044" t="s">
        <v>55</v>
      </c>
      <c r="X18" s="1045" t="s">
        <v>2318</v>
      </c>
      <c r="Y18" s="1046" t="s">
        <v>2319</v>
      </c>
      <c r="Z18" s="1047" t="s">
        <v>309</v>
      </c>
      <c r="AA18" s="1048" t="s">
        <v>336</v>
      </c>
      <c r="AB18" s="1049" t="s">
        <v>337</v>
      </c>
      <c r="AC18" s="1050" t="s">
        <v>310</v>
      </c>
      <c r="AD18" s="1051" t="s">
        <v>2321</v>
      </c>
      <c r="AE18" s="994"/>
      <c r="AF18" s="995"/>
      <c r="AG18" s="267" t="s">
        <v>528</v>
      </c>
      <c r="AH18" s="996"/>
      <c r="AI18" s="267" t="s">
        <v>528</v>
      </c>
      <c r="AJ18" s="844"/>
    </row>
    <row r="19" spans="1:36" ht="50" customHeight="1" x14ac:dyDescent="0.2">
      <c r="A19" s="839"/>
      <c r="B19" s="839" t="s">
        <v>743</v>
      </c>
      <c r="C19" s="839" t="s">
        <v>744</v>
      </c>
      <c r="D19" s="978" t="s">
        <v>32</v>
      </c>
      <c r="E19" s="558"/>
      <c r="F19" s="979"/>
      <c r="H19" s="980"/>
      <c r="I19" s="131"/>
      <c r="J19" s="981"/>
      <c r="K19" s="982"/>
      <c r="L19" s="983"/>
      <c r="M19" s="984"/>
      <c r="N19" s="985"/>
      <c r="O19" s="1516"/>
      <c r="P19" s="299"/>
      <c r="Q19" s="299"/>
      <c r="R19" s="299"/>
      <c r="S19" s="986"/>
      <c r="T19" s="987"/>
      <c r="U19" s="988"/>
      <c r="V19" s="989"/>
      <c r="W19" s="421"/>
      <c r="X19" s="421"/>
      <c r="AE19" s="504"/>
      <c r="AH19" s="504"/>
      <c r="AJ19" s="504"/>
    </row>
    <row r="20" spans="1:36" ht="119" x14ac:dyDescent="0.2">
      <c r="D20" s="175">
        <v>0</v>
      </c>
      <c r="E20" s="175" t="s">
        <v>463</v>
      </c>
      <c r="F20" s="581" t="s">
        <v>464</v>
      </c>
      <c r="G20" s="505"/>
      <c r="H20" s="178" t="s">
        <v>479</v>
      </c>
      <c r="I20" s="184"/>
      <c r="J20" s="184"/>
      <c r="K20" s="197"/>
      <c r="L20" s="540"/>
      <c r="M20" s="560"/>
      <c r="N20" s="790"/>
      <c r="O20" s="1517"/>
      <c r="P20" s="298"/>
      <c r="Q20" s="298"/>
      <c r="R20" s="298"/>
      <c r="S20" s="164"/>
      <c r="T20" s="348"/>
      <c r="U20" s="349"/>
      <c r="V20" s="153"/>
      <c r="W20" s="421"/>
      <c r="X20" s="421"/>
      <c r="AE20" s="504"/>
      <c r="AF20" s="997"/>
      <c r="AH20" s="504"/>
      <c r="AJ20" s="504"/>
    </row>
    <row r="21" spans="1:36" ht="203" customHeight="1" x14ac:dyDescent="0.2">
      <c r="A21" s="174" t="s">
        <v>1270</v>
      </c>
      <c r="C21" s="833"/>
      <c r="D21" s="175">
        <v>1</v>
      </c>
      <c r="E21" s="175" t="s">
        <v>33</v>
      </c>
      <c r="F21" s="581" t="s">
        <v>1512</v>
      </c>
      <c r="G21" s="505"/>
      <c r="H21" s="484" t="s">
        <v>1269</v>
      </c>
      <c r="I21" s="892"/>
      <c r="J21" s="184"/>
      <c r="K21" s="198"/>
      <c r="L21" s="540"/>
      <c r="M21" s="560"/>
      <c r="N21" s="790" t="s">
        <v>19</v>
      </c>
      <c r="O21" s="1517"/>
      <c r="P21" s="298"/>
      <c r="Q21" s="298"/>
      <c r="R21" s="298"/>
      <c r="S21" s="164" t="s">
        <v>34</v>
      </c>
      <c r="T21" s="348" t="s">
        <v>34</v>
      </c>
      <c r="U21" s="349" t="s">
        <v>34</v>
      </c>
      <c r="V21" s="153" t="s">
        <v>35</v>
      </c>
      <c r="W21" s="419"/>
      <c r="X21" s="419"/>
      <c r="AE21" s="504" t="s">
        <v>24</v>
      </c>
      <c r="AF21" s="997" t="s">
        <v>565</v>
      </c>
      <c r="AH21" s="994"/>
      <c r="AI21" s="842"/>
      <c r="AJ21" s="844"/>
    </row>
    <row r="22" spans="1:36" ht="192" customHeight="1" x14ac:dyDescent="0.2">
      <c r="C22" s="833" t="s">
        <v>773</v>
      </c>
      <c r="D22" s="175">
        <v>2</v>
      </c>
      <c r="E22" s="175" t="s">
        <v>36</v>
      </c>
      <c r="F22" s="581" t="s">
        <v>1207</v>
      </c>
      <c r="G22" s="840"/>
      <c r="H22" s="484"/>
      <c r="I22" s="892"/>
      <c r="J22" s="184"/>
      <c r="K22" s="198"/>
      <c r="L22" s="540"/>
      <c r="M22" s="560"/>
      <c r="N22" s="790" t="s">
        <v>772</v>
      </c>
      <c r="O22" s="1517"/>
      <c r="P22" s="298"/>
      <c r="Q22" s="298"/>
      <c r="R22" s="298"/>
      <c r="S22" s="164"/>
      <c r="T22" s="348"/>
      <c r="U22" s="349"/>
      <c r="V22" s="153"/>
      <c r="W22" s="419"/>
      <c r="X22" s="419"/>
      <c r="AE22" s="504"/>
      <c r="AF22" s="997"/>
      <c r="AH22" s="994"/>
      <c r="AI22" s="842"/>
      <c r="AJ22" s="844"/>
    </row>
    <row r="23" spans="1:36" ht="96" customHeight="1" x14ac:dyDescent="0.2">
      <c r="D23" s="175">
        <v>3</v>
      </c>
      <c r="E23" s="175" t="s">
        <v>37</v>
      </c>
      <c r="F23" s="581" t="s">
        <v>1208</v>
      </c>
      <c r="G23" s="505" t="s">
        <v>413</v>
      </c>
      <c r="H23" s="482" t="s">
        <v>1271</v>
      </c>
      <c r="I23" s="893"/>
      <c r="J23" s="177"/>
      <c r="K23" s="197"/>
      <c r="L23" s="195"/>
      <c r="M23" s="559"/>
      <c r="N23" s="111" t="s">
        <v>19</v>
      </c>
      <c r="O23" s="1516"/>
      <c r="P23" s="299"/>
      <c r="Q23" s="299"/>
      <c r="R23" s="299"/>
      <c r="S23" s="164" t="s">
        <v>34</v>
      </c>
      <c r="T23" s="348" t="s">
        <v>34</v>
      </c>
      <c r="U23" s="349" t="s">
        <v>34</v>
      </c>
      <c r="V23" s="153" t="s">
        <v>35</v>
      </c>
      <c r="W23" s="419"/>
      <c r="X23" s="419"/>
      <c r="AE23" s="504"/>
      <c r="AF23" s="995"/>
      <c r="AG23" s="995"/>
      <c r="AH23" s="504" t="s">
        <v>25</v>
      </c>
      <c r="AI23" s="842"/>
      <c r="AJ23" s="843" t="s">
        <v>495</v>
      </c>
    </row>
    <row r="24" spans="1:36" ht="97" customHeight="1" x14ac:dyDescent="0.2">
      <c r="D24" s="175">
        <v>4</v>
      </c>
      <c r="E24" s="175" t="s">
        <v>38</v>
      </c>
      <c r="F24" s="581" t="s">
        <v>1209</v>
      </c>
      <c r="G24" s="505" t="s">
        <v>784</v>
      </c>
      <c r="H24" s="482" t="s">
        <v>782</v>
      </c>
      <c r="I24" s="893"/>
      <c r="J24" s="177"/>
      <c r="K24" s="197"/>
      <c r="L24" s="195"/>
      <c r="M24" s="559"/>
      <c r="N24" s="111" t="s">
        <v>19</v>
      </c>
      <c r="O24" s="1516"/>
      <c r="P24" s="299"/>
      <c r="Q24" s="299"/>
      <c r="R24" s="299"/>
      <c r="S24" s="164" t="s">
        <v>34</v>
      </c>
      <c r="T24" s="348" t="s">
        <v>34</v>
      </c>
      <c r="U24" s="349" t="s">
        <v>34</v>
      </c>
      <c r="V24" s="153" t="s">
        <v>35</v>
      </c>
      <c r="W24" s="419"/>
      <c r="X24" s="419"/>
      <c r="AE24" s="504"/>
      <c r="AF24" s="997"/>
      <c r="AG24" s="997"/>
      <c r="AH24" s="504" t="s">
        <v>25</v>
      </c>
      <c r="AI24" s="842"/>
      <c r="AJ24" s="997" t="s">
        <v>538</v>
      </c>
    </row>
    <row r="25" spans="1:36" ht="95" customHeight="1" x14ac:dyDescent="0.2">
      <c r="D25" s="175">
        <v>5</v>
      </c>
      <c r="E25" s="175" t="s">
        <v>39</v>
      </c>
      <c r="F25" s="581" t="s">
        <v>785</v>
      </c>
      <c r="G25" s="581" t="s">
        <v>785</v>
      </c>
      <c r="H25" s="951" t="s">
        <v>775</v>
      </c>
      <c r="I25" s="952"/>
      <c r="J25" s="177"/>
      <c r="K25" s="197"/>
      <c r="L25" s="195"/>
      <c r="M25" s="559"/>
      <c r="N25" s="111" t="s">
        <v>19</v>
      </c>
      <c r="O25" s="1516"/>
      <c r="P25" s="299"/>
      <c r="Q25" s="299"/>
      <c r="R25" s="299"/>
      <c r="S25" s="164"/>
      <c r="T25" s="348"/>
      <c r="U25" s="349"/>
      <c r="V25" s="153"/>
      <c r="W25" s="419"/>
      <c r="X25" s="419"/>
      <c r="AE25" s="504"/>
      <c r="AF25" s="997"/>
      <c r="AG25" s="997"/>
      <c r="AH25" s="994"/>
      <c r="AI25" s="842"/>
      <c r="AJ25" s="844"/>
    </row>
    <row r="26" spans="1:36" ht="79" customHeight="1" x14ac:dyDescent="0.2">
      <c r="D26" s="175">
        <v>6</v>
      </c>
      <c r="E26" s="175" t="s">
        <v>770</v>
      </c>
      <c r="F26" s="581" t="s">
        <v>774</v>
      </c>
      <c r="G26" s="581" t="s">
        <v>774</v>
      </c>
      <c r="H26" s="176"/>
      <c r="I26" s="183"/>
      <c r="J26" s="177"/>
      <c r="K26" s="197"/>
      <c r="L26" s="195"/>
      <c r="M26" s="559"/>
      <c r="N26" s="111" t="s">
        <v>19</v>
      </c>
      <c r="O26" s="1516"/>
      <c r="P26" s="299"/>
      <c r="Q26" s="299"/>
      <c r="R26" s="299"/>
      <c r="S26" s="164" t="s">
        <v>34</v>
      </c>
      <c r="T26" s="348" t="s">
        <v>34</v>
      </c>
      <c r="U26" s="349" t="s">
        <v>34</v>
      </c>
      <c r="V26" s="153" t="s">
        <v>35</v>
      </c>
      <c r="W26" s="419"/>
      <c r="X26" s="419"/>
      <c r="AE26" s="504" t="s">
        <v>24</v>
      </c>
      <c r="AF26" s="997" t="s">
        <v>566</v>
      </c>
      <c r="AG26" s="997"/>
      <c r="AH26" s="994"/>
      <c r="AI26" s="842"/>
      <c r="AJ26" s="844"/>
    </row>
    <row r="27" spans="1:36" ht="98" customHeight="1" x14ac:dyDescent="0.2">
      <c r="D27" s="175">
        <v>7</v>
      </c>
      <c r="E27" s="175" t="s">
        <v>40</v>
      </c>
      <c r="F27" s="581" t="s">
        <v>1210</v>
      </c>
      <c r="G27" s="581" t="s">
        <v>794</v>
      </c>
      <c r="H27" s="482" t="s">
        <v>1268</v>
      </c>
      <c r="I27" s="893"/>
      <c r="J27" s="177"/>
      <c r="K27" s="197"/>
      <c r="L27" s="195"/>
      <c r="M27" s="559"/>
      <c r="N27" s="111" t="s">
        <v>19</v>
      </c>
      <c r="O27" s="1508"/>
      <c r="P27" s="299"/>
      <c r="Q27" s="299"/>
      <c r="R27" s="299"/>
      <c r="S27" s="164" t="s">
        <v>34</v>
      </c>
      <c r="T27" s="348" t="s">
        <v>34</v>
      </c>
      <c r="U27" s="349" t="s">
        <v>34</v>
      </c>
      <c r="V27" s="153" t="s">
        <v>35</v>
      </c>
      <c r="W27" s="419"/>
      <c r="X27" s="419"/>
      <c r="AE27" s="504"/>
      <c r="AF27" s="997"/>
      <c r="AH27" s="994"/>
      <c r="AI27" s="842"/>
      <c r="AJ27" s="997" t="s">
        <v>562</v>
      </c>
    </row>
    <row r="28" spans="1:36" ht="71" customHeight="1" x14ac:dyDescent="0.2">
      <c r="D28" s="175">
        <v>8</v>
      </c>
      <c r="E28" s="175" t="s">
        <v>41</v>
      </c>
      <c r="F28" s="581" t="s">
        <v>1211</v>
      </c>
      <c r="G28" s="581" t="s">
        <v>795</v>
      </c>
      <c r="H28" s="482" t="s">
        <v>1268</v>
      </c>
      <c r="I28" s="893"/>
      <c r="J28" s="177"/>
      <c r="K28" s="197"/>
      <c r="L28" s="195"/>
      <c r="M28" s="559"/>
      <c r="N28" s="111" t="s">
        <v>19</v>
      </c>
      <c r="O28" s="1508"/>
      <c r="P28" s="299"/>
      <c r="Q28" s="299"/>
      <c r="R28" s="299"/>
      <c r="S28" s="164" t="s">
        <v>34</v>
      </c>
      <c r="T28" s="348" t="s">
        <v>34</v>
      </c>
      <c r="U28" s="349" t="s">
        <v>34</v>
      </c>
      <c r="V28" s="153" t="s">
        <v>35</v>
      </c>
      <c r="W28" s="419"/>
      <c r="X28" s="419"/>
      <c r="AE28" s="504"/>
      <c r="AF28" s="997"/>
      <c r="AG28" s="995"/>
      <c r="AH28" s="994"/>
      <c r="AI28" s="842"/>
      <c r="AJ28" s="844"/>
    </row>
    <row r="29" spans="1:36" ht="57" customHeight="1" x14ac:dyDescent="0.2">
      <c r="B29" s="1507"/>
      <c r="D29" s="175">
        <v>9</v>
      </c>
      <c r="E29" s="175" t="s">
        <v>42</v>
      </c>
      <c r="F29" s="581" t="s">
        <v>1212</v>
      </c>
      <c r="G29" s="581" t="s">
        <v>796</v>
      </c>
      <c r="H29" s="220"/>
      <c r="I29" s="894"/>
      <c r="J29" s="180"/>
      <c r="K29" s="197">
        <v>4</v>
      </c>
      <c r="L29" s="196">
        <v>3</v>
      </c>
      <c r="M29" s="559"/>
      <c r="N29" s="111" t="s">
        <v>1193</v>
      </c>
      <c r="O29" s="272" t="s">
        <v>2094</v>
      </c>
      <c r="P29" s="305">
        <f>Test_Bible!P53</f>
        <v>2</v>
      </c>
      <c r="Q29" s="305">
        <f>Test_Bible!Q53</f>
        <v>6</v>
      </c>
      <c r="R29" s="305"/>
      <c r="S29" s="164" t="s">
        <v>34</v>
      </c>
      <c r="T29" s="348" t="s">
        <v>34</v>
      </c>
      <c r="U29" s="349" t="s">
        <v>34</v>
      </c>
      <c r="V29" s="154" t="s">
        <v>336</v>
      </c>
      <c r="W29" s="421"/>
      <c r="X29" s="421"/>
      <c r="AE29" s="504" t="s">
        <v>24</v>
      </c>
      <c r="AF29" s="263" t="s">
        <v>567</v>
      </c>
      <c r="AH29" s="845" t="s">
        <v>512</v>
      </c>
      <c r="AI29" s="842"/>
      <c r="AJ29" s="844"/>
    </row>
    <row r="30" spans="1:36" ht="51" customHeight="1" x14ac:dyDescent="0.2">
      <c r="B30" s="99" t="s">
        <v>698</v>
      </c>
      <c r="D30" s="175">
        <v>10</v>
      </c>
      <c r="E30" s="118" t="s">
        <v>45</v>
      </c>
      <c r="F30" s="274" t="s">
        <v>415</v>
      </c>
      <c r="G30" s="274" t="s">
        <v>797</v>
      </c>
      <c r="H30" s="97"/>
      <c r="I30" s="895"/>
      <c r="J30" s="99"/>
      <c r="K30" s="199"/>
      <c r="L30" s="551"/>
      <c r="M30" s="561"/>
      <c r="N30" s="111" t="s">
        <v>46</v>
      </c>
      <c r="O30" s="1508"/>
      <c r="P30" s="299"/>
      <c r="Q30" s="299"/>
      <c r="R30" s="299"/>
      <c r="S30" s="164" t="s">
        <v>34</v>
      </c>
      <c r="T30" s="348" t="s">
        <v>34</v>
      </c>
      <c r="U30" s="349" t="s">
        <v>34</v>
      </c>
      <c r="V30" s="153" t="s">
        <v>35</v>
      </c>
      <c r="W30" s="419"/>
      <c r="X30" s="419"/>
      <c r="Y30" s="139"/>
      <c r="AE30" s="504"/>
      <c r="AF30" s="995"/>
      <c r="AG30" s="995"/>
      <c r="AH30" s="994"/>
      <c r="AI30" s="842"/>
      <c r="AJ30" s="844"/>
    </row>
    <row r="31" spans="1:36" ht="59" customHeight="1" x14ac:dyDescent="0.2">
      <c r="B31" s="99" t="s">
        <v>699</v>
      </c>
      <c r="D31" s="175">
        <v>11</v>
      </c>
      <c r="E31" s="118" t="s">
        <v>47</v>
      </c>
      <c r="F31" s="274" t="s">
        <v>414</v>
      </c>
      <c r="G31" s="274" t="s">
        <v>798</v>
      </c>
      <c r="H31" s="97"/>
      <c r="I31" s="895"/>
      <c r="J31" s="99"/>
      <c r="K31" s="199"/>
      <c r="L31" s="543">
        <v>2</v>
      </c>
      <c r="M31" s="561"/>
      <c r="N31" s="111" t="s">
        <v>43</v>
      </c>
      <c r="O31" s="1531" t="s">
        <v>1114</v>
      </c>
      <c r="P31" s="305">
        <f>Test_Bible!P56</f>
        <v>0</v>
      </c>
      <c r="Q31" s="305">
        <f>Test_Bible!Q56</f>
        <v>0</v>
      </c>
      <c r="R31" s="305"/>
      <c r="S31" s="164" t="s">
        <v>34</v>
      </c>
      <c r="T31" s="348" t="s">
        <v>34</v>
      </c>
      <c r="U31" s="349" t="s">
        <v>34</v>
      </c>
      <c r="V31" s="154" t="s">
        <v>336</v>
      </c>
      <c r="W31" s="420"/>
      <c r="X31" s="420"/>
      <c r="AE31" s="994"/>
      <c r="AF31" s="995"/>
      <c r="AG31" s="995"/>
      <c r="AH31" s="845" t="s">
        <v>512</v>
      </c>
      <c r="AI31" s="842"/>
      <c r="AJ31" s="844"/>
    </row>
    <row r="32" spans="1:36" ht="59" customHeight="1" x14ac:dyDescent="0.2">
      <c r="B32" s="99" t="s">
        <v>698</v>
      </c>
      <c r="D32" s="175">
        <v>12</v>
      </c>
      <c r="E32" s="118" t="s">
        <v>49</v>
      </c>
      <c r="F32" s="274" t="s">
        <v>1259</v>
      </c>
      <c r="G32" s="274" t="s">
        <v>799</v>
      </c>
      <c r="H32" s="97"/>
      <c r="I32" s="895"/>
      <c r="J32" s="99"/>
      <c r="K32" s="199"/>
      <c r="L32" s="543">
        <v>2</v>
      </c>
      <c r="M32" s="561"/>
      <c r="N32" s="111" t="s">
        <v>43</v>
      </c>
      <c r="O32" s="1531" t="s">
        <v>1114</v>
      </c>
      <c r="P32" s="305">
        <f>Test_Bible!P57</f>
        <v>0</v>
      </c>
      <c r="Q32" s="305">
        <f>Test_Bible!Q57</f>
        <v>0</v>
      </c>
      <c r="R32" s="305"/>
      <c r="S32" s="164" t="s">
        <v>34</v>
      </c>
      <c r="T32" s="348" t="s">
        <v>34</v>
      </c>
      <c r="U32" s="349" t="s">
        <v>34</v>
      </c>
      <c r="V32" s="154" t="s">
        <v>336</v>
      </c>
      <c r="W32" s="421"/>
      <c r="X32" s="421"/>
      <c r="AE32" s="994"/>
      <c r="AF32" s="995"/>
      <c r="AG32" s="995"/>
      <c r="AH32" s="994"/>
      <c r="AI32" s="842"/>
      <c r="AJ32" s="844"/>
    </row>
    <row r="33" spans="2:47" ht="125" customHeight="1" thickBot="1" x14ac:dyDescent="0.25">
      <c r="B33" s="1505"/>
      <c r="D33" s="175">
        <v>13</v>
      </c>
      <c r="E33" s="118" t="s">
        <v>1101</v>
      </c>
      <c r="F33" s="274" t="s">
        <v>1213</v>
      </c>
      <c r="G33" s="1332" t="s">
        <v>800</v>
      </c>
      <c r="H33" s="1395" t="s">
        <v>1153</v>
      </c>
      <c r="I33" s="895"/>
      <c r="J33" s="99"/>
      <c r="K33" s="199"/>
      <c r="L33" s="551"/>
      <c r="M33" s="561"/>
      <c r="N33" s="792" t="s">
        <v>51</v>
      </c>
      <c r="O33" s="1516"/>
      <c r="P33" s="299"/>
      <c r="Q33" s="299"/>
      <c r="R33" s="299"/>
      <c r="S33" s="164" t="s">
        <v>34</v>
      </c>
      <c r="T33" s="348" t="s">
        <v>34</v>
      </c>
      <c r="U33" s="349" t="s">
        <v>34</v>
      </c>
      <c r="V33" s="154" t="s">
        <v>336</v>
      </c>
      <c r="W33" s="421"/>
      <c r="X33" s="421"/>
      <c r="AE33" s="504" t="s">
        <v>24</v>
      </c>
      <c r="AF33" s="997" t="s">
        <v>568</v>
      </c>
      <c r="AH33" s="504" t="s">
        <v>25</v>
      </c>
      <c r="AJ33" s="267" t="s">
        <v>569</v>
      </c>
    </row>
    <row r="34" spans="2:47" ht="128" customHeight="1" x14ac:dyDescent="0.2">
      <c r="B34" s="99" t="s">
        <v>1150</v>
      </c>
      <c r="D34" s="175">
        <v>14</v>
      </c>
      <c r="E34" s="118" t="s">
        <v>1105</v>
      </c>
      <c r="F34" s="274" t="s">
        <v>1214</v>
      </c>
      <c r="G34" s="274" t="s">
        <v>801</v>
      </c>
      <c r="H34" s="1395" t="s">
        <v>1154</v>
      </c>
      <c r="I34" s="896"/>
      <c r="J34" s="99"/>
      <c r="K34" s="199"/>
      <c r="L34" s="551"/>
      <c r="M34" s="562"/>
      <c r="N34" s="791" t="s">
        <v>51</v>
      </c>
      <c r="O34" s="1516"/>
      <c r="P34" s="299"/>
      <c r="Q34" s="299"/>
      <c r="R34" s="299"/>
      <c r="S34" s="164" t="s">
        <v>34</v>
      </c>
      <c r="T34" s="348" t="s">
        <v>34</v>
      </c>
      <c r="U34" s="349" t="s">
        <v>34</v>
      </c>
      <c r="V34" s="154"/>
      <c r="W34" s="421"/>
      <c r="X34" s="421"/>
      <c r="AE34" s="504"/>
      <c r="AH34" s="504"/>
      <c r="AJ34" s="504"/>
    </row>
    <row r="35" spans="2:47" ht="87" customHeight="1" x14ac:dyDescent="0.2">
      <c r="B35" s="99" t="s">
        <v>1150</v>
      </c>
      <c r="D35" s="175">
        <v>15</v>
      </c>
      <c r="E35" s="118" t="s">
        <v>1106</v>
      </c>
      <c r="F35" s="274" t="s">
        <v>1215</v>
      </c>
      <c r="G35" s="274" t="s">
        <v>802</v>
      </c>
      <c r="H35" s="97" t="s">
        <v>468</v>
      </c>
      <c r="I35" s="895"/>
      <c r="J35" s="99"/>
      <c r="K35" s="199"/>
      <c r="L35" s="551"/>
      <c r="M35" s="561"/>
      <c r="N35" s="111" t="s">
        <v>1216</v>
      </c>
      <c r="O35" s="1516"/>
      <c r="P35" s="299"/>
      <c r="Q35" s="299"/>
      <c r="R35" s="299"/>
      <c r="S35" s="164" t="s">
        <v>34</v>
      </c>
      <c r="T35" s="348" t="s">
        <v>34</v>
      </c>
      <c r="U35" s="349" t="s">
        <v>34</v>
      </c>
      <c r="V35" s="154"/>
      <c r="W35" s="421"/>
      <c r="X35" s="421"/>
      <c r="AE35" s="504"/>
      <c r="AH35" s="504"/>
      <c r="AJ35" s="504"/>
    </row>
    <row r="36" spans="2:47" ht="48" customHeight="1" x14ac:dyDescent="0.2">
      <c r="B36" s="99" t="s">
        <v>1151</v>
      </c>
      <c r="D36" s="175">
        <v>16</v>
      </c>
      <c r="E36" s="118" t="s">
        <v>1107</v>
      </c>
      <c r="F36" s="274" t="s">
        <v>771</v>
      </c>
      <c r="G36" s="274" t="s">
        <v>803</v>
      </c>
      <c r="H36" s="517"/>
      <c r="I36" s="897"/>
      <c r="J36" s="99"/>
      <c r="K36" s="199"/>
      <c r="L36" s="551"/>
      <c r="M36" s="561"/>
      <c r="N36" s="111" t="s">
        <v>46</v>
      </c>
      <c r="O36" s="1516"/>
      <c r="P36" s="299"/>
      <c r="Q36" s="299"/>
      <c r="R36" s="299"/>
      <c r="S36" s="164" t="s">
        <v>34</v>
      </c>
      <c r="T36" s="348" t="s">
        <v>34</v>
      </c>
      <c r="U36" s="349" t="s">
        <v>34</v>
      </c>
      <c r="V36" s="154"/>
      <c r="W36" s="421"/>
      <c r="X36" s="421"/>
      <c r="AE36" s="504" t="s">
        <v>24</v>
      </c>
      <c r="AF36" s="997" t="s">
        <v>568</v>
      </c>
      <c r="AG36" s="997"/>
      <c r="AH36" s="504"/>
      <c r="AJ36" s="504"/>
    </row>
    <row r="37" spans="2:47" ht="135" customHeight="1" thickBot="1" x14ac:dyDescent="0.25">
      <c r="B37" s="99" t="s">
        <v>1151</v>
      </c>
      <c r="D37" s="175">
        <v>17</v>
      </c>
      <c r="E37" s="118" t="s">
        <v>1108</v>
      </c>
      <c r="F37" s="274" t="s">
        <v>1291</v>
      </c>
      <c r="G37" s="507" t="s">
        <v>804</v>
      </c>
      <c r="H37" s="518" t="s">
        <v>515</v>
      </c>
      <c r="I37" s="898"/>
      <c r="J37" s="99"/>
      <c r="K37" s="120"/>
      <c r="L37" s="552"/>
      <c r="M37" s="562"/>
      <c r="N37" s="792" t="s">
        <v>51</v>
      </c>
      <c r="O37" s="1518"/>
      <c r="P37" s="320"/>
      <c r="Q37" s="320"/>
      <c r="R37" s="320"/>
      <c r="S37" s="164" t="s">
        <v>34</v>
      </c>
      <c r="T37" s="348" t="s">
        <v>34</v>
      </c>
      <c r="U37" s="349" t="s">
        <v>34</v>
      </c>
      <c r="V37" s="367"/>
      <c r="W37" s="421"/>
      <c r="X37" s="421"/>
      <c r="AE37" s="504" t="s">
        <v>24</v>
      </c>
      <c r="AF37" s="997" t="s">
        <v>570</v>
      </c>
      <c r="AG37" s="997" t="s">
        <v>563</v>
      </c>
      <c r="AH37" s="504"/>
      <c r="AI37" s="998" t="s">
        <v>571</v>
      </c>
      <c r="AJ37" s="109" t="s">
        <v>563</v>
      </c>
    </row>
    <row r="38" spans="2:47" ht="40" customHeight="1" thickBot="1" x14ac:dyDescent="0.25">
      <c r="D38" s="324"/>
      <c r="E38" s="324"/>
      <c r="F38" s="325"/>
      <c r="G38" s="324"/>
      <c r="H38" s="325"/>
      <c r="I38" s="325"/>
      <c r="J38" s="324"/>
      <c r="K38" s="324"/>
      <c r="L38" s="324"/>
      <c r="M38" s="324"/>
      <c r="N38" s="326"/>
      <c r="O38" s="1519"/>
      <c r="P38" s="326"/>
      <c r="Q38" s="326"/>
      <c r="R38" s="326"/>
      <c r="S38" s="387"/>
      <c r="T38" s="365"/>
      <c r="U38" s="365"/>
      <c r="V38" s="329"/>
      <c r="W38" s="421"/>
      <c r="X38" s="421"/>
      <c r="AE38" s="999"/>
      <c r="AF38" s="1000"/>
      <c r="AH38" s="504"/>
      <c r="AI38" s="267" t="s">
        <v>572</v>
      </c>
      <c r="AJ38" s="504"/>
    </row>
    <row r="39" spans="2:47" ht="40" customHeight="1" thickBot="1" x14ac:dyDescent="0.25">
      <c r="D39" s="149" t="s">
        <v>52</v>
      </c>
      <c r="E39" s="119"/>
      <c r="F39" s="534"/>
      <c r="G39" s="28"/>
      <c r="H39" s="368"/>
      <c r="I39" s="899"/>
      <c r="J39" s="369"/>
      <c r="K39" s="370"/>
      <c r="L39" s="370"/>
      <c r="M39" s="28"/>
      <c r="N39" s="788"/>
      <c r="O39" s="1520"/>
      <c r="P39" s="371"/>
      <c r="Q39" s="371"/>
      <c r="R39" s="371"/>
      <c r="S39" s="388"/>
      <c r="T39" s="389"/>
      <c r="U39" s="389"/>
      <c r="V39" s="372"/>
      <c r="W39" s="421"/>
      <c r="X39" s="421"/>
      <c r="AE39" s="747"/>
      <c r="AF39" s="1001"/>
      <c r="AH39" s="504"/>
      <c r="AJ39" s="504"/>
    </row>
    <row r="40" spans="2:47" s="7" customFormat="1" ht="45" x14ac:dyDescent="0.2">
      <c r="D40" s="149">
        <v>0</v>
      </c>
      <c r="E40" s="119" t="s">
        <v>53</v>
      </c>
      <c r="F40" s="841" t="s">
        <v>1320</v>
      </c>
      <c r="G40" s="841" t="s">
        <v>805</v>
      </c>
      <c r="H40" s="104"/>
      <c r="I40" s="900"/>
      <c r="J40" s="108" t="s">
        <v>1305</v>
      </c>
      <c r="K40" s="1592"/>
      <c r="L40" s="553">
        <v>1</v>
      </c>
      <c r="M40" s="563"/>
      <c r="N40" s="789" t="s">
        <v>54</v>
      </c>
      <c r="O40" s="787" t="s">
        <v>1157</v>
      </c>
      <c r="P40" s="306">
        <f>Test_Bible!P98</f>
        <v>10</v>
      </c>
      <c r="Q40" s="306">
        <f>Test_Bible!Q98</f>
        <v>10</v>
      </c>
      <c r="R40" s="306"/>
      <c r="S40" s="164" t="s">
        <v>34</v>
      </c>
      <c r="T40" s="348" t="s">
        <v>34</v>
      </c>
      <c r="U40" s="349" t="s">
        <v>34</v>
      </c>
      <c r="V40" s="155" t="s">
        <v>55</v>
      </c>
      <c r="W40" s="419"/>
      <c r="X40" s="419"/>
      <c r="Y40" s="44"/>
      <c r="Z40" s="44"/>
      <c r="AA40" s="42"/>
      <c r="AB40" s="42"/>
      <c r="AC40" s="42"/>
      <c r="AD40" s="42"/>
      <c r="AE40" s="994"/>
      <c r="AF40" s="995"/>
      <c r="AG40" s="995"/>
      <c r="AH40" s="845" t="s">
        <v>507</v>
      </c>
      <c r="AI40" s="842"/>
      <c r="AJ40" s="844"/>
      <c r="AU40" s="989" t="s">
        <v>55</v>
      </c>
    </row>
    <row r="41" spans="2:47" s="7" customFormat="1" ht="51" x14ac:dyDescent="0.2">
      <c r="D41" s="149">
        <v>1</v>
      </c>
      <c r="E41" s="119" t="s">
        <v>56</v>
      </c>
      <c r="F41" s="534" t="s">
        <v>1321</v>
      </c>
      <c r="G41" s="534" t="s">
        <v>806</v>
      </c>
      <c r="H41" s="104"/>
      <c r="I41" s="900"/>
      <c r="J41" s="108" t="s">
        <v>1305</v>
      </c>
      <c r="K41" s="1592"/>
      <c r="L41" s="553">
        <v>1</v>
      </c>
      <c r="M41" s="563"/>
      <c r="N41" s="112" t="s">
        <v>54</v>
      </c>
      <c r="O41" s="787" t="s">
        <v>1157</v>
      </c>
      <c r="P41" s="306">
        <f>Test_Bible!P99</f>
        <v>10</v>
      </c>
      <c r="Q41" s="306">
        <f>Test_Bible!Q99</f>
        <v>10</v>
      </c>
      <c r="R41" s="306"/>
      <c r="S41" s="164" t="s">
        <v>34</v>
      </c>
      <c r="T41" s="348" t="s">
        <v>34</v>
      </c>
      <c r="U41" s="349" t="s">
        <v>34</v>
      </c>
      <c r="V41" s="155" t="s">
        <v>55</v>
      </c>
      <c r="W41" s="419"/>
      <c r="X41" s="419"/>
      <c r="Y41" s="44"/>
      <c r="Z41" s="44"/>
      <c r="AA41" s="42"/>
      <c r="AB41" s="42"/>
      <c r="AC41" s="42"/>
      <c r="AD41" s="42"/>
      <c r="AE41" s="994"/>
      <c r="AF41" s="995"/>
      <c r="AG41" s="995"/>
      <c r="AH41" s="994"/>
      <c r="AI41" s="842"/>
      <c r="AJ41" s="844"/>
      <c r="AU41" s="7" t="s">
        <v>2318</v>
      </c>
    </row>
    <row r="42" spans="2:47" s="7" customFormat="1" ht="34" x14ac:dyDescent="0.2">
      <c r="D42" s="149">
        <v>2</v>
      </c>
      <c r="E42" s="119" t="s">
        <v>57</v>
      </c>
      <c r="F42" s="534" t="s">
        <v>1322</v>
      </c>
      <c r="G42" s="534" t="s">
        <v>808</v>
      </c>
      <c r="H42" s="104"/>
      <c r="I42" s="900"/>
      <c r="J42" s="108" t="s">
        <v>1305</v>
      </c>
      <c r="K42" s="1592">
        <v>6</v>
      </c>
      <c r="L42" s="553">
        <v>1</v>
      </c>
      <c r="M42" s="563"/>
      <c r="N42" s="112" t="s">
        <v>54</v>
      </c>
      <c r="O42" s="787" t="s">
        <v>1157</v>
      </c>
      <c r="P42" s="306">
        <f>Test_Bible!P100</f>
        <v>6</v>
      </c>
      <c r="Q42" s="306">
        <f>Test_Bible!Q100</f>
        <v>6</v>
      </c>
      <c r="R42" s="306"/>
      <c r="S42" s="164" t="s">
        <v>34</v>
      </c>
      <c r="T42" s="348" t="s">
        <v>34</v>
      </c>
      <c r="U42" s="349" t="s">
        <v>34</v>
      </c>
      <c r="V42" s="155" t="s">
        <v>55</v>
      </c>
      <c r="W42" s="419"/>
      <c r="X42" s="419"/>
      <c r="Y42" s="44"/>
      <c r="Z42" s="44"/>
      <c r="AA42" s="42"/>
      <c r="AB42" s="42"/>
      <c r="AC42" s="42"/>
      <c r="AD42" s="42"/>
      <c r="AE42" s="994"/>
      <c r="AF42" s="995"/>
      <c r="AG42" s="995"/>
      <c r="AH42" s="994"/>
      <c r="AI42" s="842"/>
      <c r="AJ42" s="844"/>
      <c r="AU42" s="7" t="s">
        <v>2319</v>
      </c>
    </row>
    <row r="43" spans="2:47" s="7" customFormat="1" ht="64" customHeight="1" x14ac:dyDescent="0.2">
      <c r="B43" s="99" t="s">
        <v>700</v>
      </c>
      <c r="D43" s="149">
        <v>3</v>
      </c>
      <c r="E43" s="118" t="s">
        <v>58</v>
      </c>
      <c r="F43" s="274" t="s">
        <v>1217</v>
      </c>
      <c r="G43" s="274" t="s">
        <v>809</v>
      </c>
      <c r="H43" s="97"/>
      <c r="I43" s="895"/>
      <c r="J43" s="108" t="s">
        <v>1305</v>
      </c>
      <c r="K43" s="1592">
        <v>5</v>
      </c>
      <c r="L43" s="553">
        <v>1</v>
      </c>
      <c r="M43" s="563"/>
      <c r="N43" s="112" t="s">
        <v>54</v>
      </c>
      <c r="O43" s="787" t="s">
        <v>1157</v>
      </c>
      <c r="P43" s="306">
        <f>Test_Bible!P101</f>
        <v>1</v>
      </c>
      <c r="Q43" s="306">
        <f>Test_Bible!Q101</f>
        <v>1</v>
      </c>
      <c r="R43" s="306"/>
      <c r="S43" s="164" t="s">
        <v>34</v>
      </c>
      <c r="T43" s="348" t="s">
        <v>34</v>
      </c>
      <c r="U43" s="349" t="s">
        <v>34</v>
      </c>
      <c r="V43" s="155" t="s">
        <v>55</v>
      </c>
      <c r="W43" s="419"/>
      <c r="X43" s="419"/>
      <c r="Y43" s="44"/>
      <c r="Z43" s="44"/>
      <c r="AA43" s="42"/>
      <c r="AB43" s="42"/>
      <c r="AC43" s="42"/>
      <c r="AD43" s="42"/>
      <c r="AE43" s="504" t="s">
        <v>24</v>
      </c>
      <c r="AF43" s="997" t="s">
        <v>558</v>
      </c>
      <c r="AG43" s="997"/>
      <c r="AH43" s="504" t="s">
        <v>25</v>
      </c>
      <c r="AI43" s="263"/>
      <c r="AJ43" s="997" t="s">
        <v>573</v>
      </c>
      <c r="AU43" s="7" t="s">
        <v>309</v>
      </c>
    </row>
    <row r="44" spans="2:47" s="7" customFormat="1" ht="48" customHeight="1" x14ac:dyDescent="0.2">
      <c r="B44" s="99" t="s">
        <v>1260</v>
      </c>
      <c r="D44" s="149">
        <v>4</v>
      </c>
      <c r="E44" s="118" t="s">
        <v>1138</v>
      </c>
      <c r="F44" s="274" t="s">
        <v>1218</v>
      </c>
      <c r="G44" s="274" t="s">
        <v>807</v>
      </c>
      <c r="H44" s="97"/>
      <c r="I44" s="900"/>
      <c r="J44" s="108" t="s">
        <v>1305</v>
      </c>
      <c r="K44" s="1592"/>
      <c r="L44" s="553">
        <v>1</v>
      </c>
      <c r="M44" s="563"/>
      <c r="N44" s="112" t="s">
        <v>54</v>
      </c>
      <c r="O44" s="787" t="s">
        <v>1157</v>
      </c>
      <c r="P44" s="306">
        <f>Test_Bible!P102</f>
        <v>0</v>
      </c>
      <c r="Q44" s="306">
        <f>Test_Bible!Q102</f>
        <v>0</v>
      </c>
      <c r="R44" s="306"/>
      <c r="S44" s="164" t="s">
        <v>34</v>
      </c>
      <c r="T44" s="348" t="s">
        <v>34</v>
      </c>
      <c r="U44" s="349" t="s">
        <v>34</v>
      </c>
      <c r="V44" s="155" t="s">
        <v>55</v>
      </c>
      <c r="W44" s="419"/>
      <c r="X44" s="419"/>
      <c r="Y44" s="44"/>
      <c r="Z44" s="44"/>
      <c r="AA44" s="42"/>
      <c r="AB44" s="42"/>
      <c r="AC44" s="42"/>
      <c r="AD44" s="42"/>
      <c r="AE44" s="994"/>
      <c r="AF44" s="995"/>
      <c r="AG44" s="995"/>
      <c r="AH44" s="994"/>
      <c r="AI44" s="842"/>
      <c r="AJ44" s="844"/>
      <c r="AU44" s="7" t="s">
        <v>336</v>
      </c>
    </row>
    <row r="45" spans="2:47" s="7" customFormat="1" ht="48" customHeight="1" x14ac:dyDescent="0.2">
      <c r="D45" s="149">
        <v>7</v>
      </c>
      <c r="E45" s="119" t="s">
        <v>59</v>
      </c>
      <c r="F45" s="534" t="s">
        <v>1323</v>
      </c>
      <c r="G45" s="534" t="s">
        <v>60</v>
      </c>
      <c r="H45" s="104"/>
      <c r="I45" s="900"/>
      <c r="J45" s="108" t="s">
        <v>1305</v>
      </c>
      <c r="K45" s="1278">
        <v>2</v>
      </c>
      <c r="L45" s="543">
        <v>2</v>
      </c>
      <c r="M45" s="563"/>
      <c r="N45" s="563" t="s">
        <v>3</v>
      </c>
      <c r="O45" s="1532" t="s">
        <v>1113</v>
      </c>
      <c r="P45" s="305">
        <f>Test_Bible!P104</f>
        <v>2</v>
      </c>
      <c r="Q45" s="305">
        <f>Test_Bible!Q104</f>
        <v>4</v>
      </c>
      <c r="R45" s="305"/>
      <c r="S45" s="164" t="s">
        <v>34</v>
      </c>
      <c r="T45" s="348" t="s">
        <v>34</v>
      </c>
      <c r="U45" s="349" t="s">
        <v>34</v>
      </c>
      <c r="V45" s="156" t="s">
        <v>309</v>
      </c>
      <c r="W45" s="419"/>
      <c r="X45" s="419"/>
      <c r="Y45" s="44"/>
      <c r="Z45" s="44"/>
      <c r="AA45" s="42"/>
      <c r="AB45" s="42"/>
      <c r="AC45" s="42"/>
      <c r="AD45" s="42"/>
      <c r="AE45" s="504"/>
      <c r="AF45" s="997"/>
      <c r="AG45" s="995"/>
      <c r="AH45" s="504" t="s">
        <v>25</v>
      </c>
      <c r="AI45" s="842"/>
      <c r="AJ45" s="997" t="s">
        <v>539</v>
      </c>
      <c r="AU45" s="7" t="s">
        <v>337</v>
      </c>
    </row>
    <row r="46" spans="2:47" s="7" customFormat="1" ht="34" x14ac:dyDescent="0.2">
      <c r="B46" s="99" t="s">
        <v>701</v>
      </c>
      <c r="D46" s="149">
        <v>8</v>
      </c>
      <c r="E46" s="118" t="s">
        <v>62</v>
      </c>
      <c r="F46" s="535" t="s">
        <v>1324</v>
      </c>
      <c r="G46" s="535" t="s">
        <v>483</v>
      </c>
      <c r="H46" s="96"/>
      <c r="I46" s="901"/>
      <c r="J46" s="99" t="s">
        <v>50</v>
      </c>
      <c r="K46" s="199"/>
      <c r="L46" s="196">
        <v>3</v>
      </c>
      <c r="M46" s="563"/>
      <c r="N46" s="563" t="s">
        <v>3</v>
      </c>
      <c r="O46" s="1532" t="s">
        <v>1113</v>
      </c>
      <c r="P46" s="305">
        <f>Test_Bible!P105</f>
        <v>2</v>
      </c>
      <c r="Q46" s="305">
        <f>Test_Bible!Q105</f>
        <v>6</v>
      </c>
      <c r="R46" s="305"/>
      <c r="S46" s="164" t="s">
        <v>34</v>
      </c>
      <c r="T46" s="348" t="s">
        <v>34</v>
      </c>
      <c r="U46" s="349" t="s">
        <v>34</v>
      </c>
      <c r="V46" s="157" t="s">
        <v>309</v>
      </c>
      <c r="W46" s="420"/>
      <c r="X46" s="420"/>
      <c r="Y46" s="44"/>
      <c r="Z46" s="44"/>
      <c r="AA46" s="42"/>
      <c r="AB46" s="42"/>
      <c r="AC46" s="42"/>
      <c r="AD46" s="42"/>
      <c r="AE46" s="994"/>
      <c r="AF46" s="995"/>
      <c r="AG46" s="995"/>
      <c r="AH46" s="994"/>
      <c r="AI46" s="842"/>
      <c r="AJ46" s="844"/>
      <c r="AU46" s="7" t="s">
        <v>310</v>
      </c>
    </row>
    <row r="47" spans="2:47" s="7" customFormat="1" ht="74" customHeight="1" x14ac:dyDescent="0.2">
      <c r="D47" s="149">
        <v>5</v>
      </c>
      <c r="E47" s="119" t="s">
        <v>63</v>
      </c>
      <c r="F47" s="534" t="s">
        <v>1325</v>
      </c>
      <c r="G47" s="534" t="s">
        <v>810</v>
      </c>
      <c r="H47" s="104"/>
      <c r="I47" s="900"/>
      <c r="J47" s="1603"/>
      <c r="K47" s="1278">
        <v>4</v>
      </c>
      <c r="L47" s="541">
        <v>1</v>
      </c>
      <c r="M47" s="563"/>
      <c r="N47" s="563" t="s">
        <v>16</v>
      </c>
      <c r="O47" s="1533" t="s">
        <v>1203</v>
      </c>
      <c r="P47" s="305">
        <f>Test_Bible!P106</f>
        <v>1</v>
      </c>
      <c r="Q47" s="305">
        <f>Test_Bible!Q106</f>
        <v>1</v>
      </c>
      <c r="R47" s="305"/>
      <c r="S47" s="164" t="s">
        <v>34</v>
      </c>
      <c r="T47" s="348" t="s">
        <v>34</v>
      </c>
      <c r="U47" s="349" t="s">
        <v>34</v>
      </c>
      <c r="V47" s="158" t="s">
        <v>337</v>
      </c>
      <c r="W47" s="419"/>
      <c r="X47" s="419"/>
      <c r="Y47" s="44"/>
      <c r="Z47" s="44"/>
      <c r="AA47" s="42"/>
      <c r="AB47" s="42"/>
      <c r="AC47" s="42"/>
      <c r="AD47" s="42"/>
      <c r="AE47" s="504" t="s">
        <v>24</v>
      </c>
      <c r="AF47" s="997" t="s">
        <v>534</v>
      </c>
      <c r="AG47" s="997"/>
      <c r="AH47" s="504" t="s">
        <v>25</v>
      </c>
      <c r="AI47" s="842"/>
      <c r="AJ47" s="843" t="s">
        <v>559</v>
      </c>
      <c r="AU47" s="7" t="s">
        <v>2321</v>
      </c>
    </row>
    <row r="48" spans="2:47" s="7" customFormat="1" ht="51" x14ac:dyDescent="0.2">
      <c r="B48" s="99" t="s">
        <v>1199</v>
      </c>
      <c r="D48" s="149">
        <v>6</v>
      </c>
      <c r="E48" s="118" t="s">
        <v>812</v>
      </c>
      <c r="F48" s="535" t="s">
        <v>1326</v>
      </c>
      <c r="G48" s="535" t="s">
        <v>811</v>
      </c>
      <c r="H48" s="96"/>
      <c r="I48" s="901"/>
      <c r="J48" s="99" t="s">
        <v>50</v>
      </c>
      <c r="K48" s="199"/>
      <c r="L48" s="543">
        <v>3</v>
      </c>
      <c r="M48" s="563"/>
      <c r="N48" s="563" t="s">
        <v>3</v>
      </c>
      <c r="O48" s="1532" t="s">
        <v>1113</v>
      </c>
      <c r="P48" s="305">
        <f>Test_Bible!P107</f>
        <v>0</v>
      </c>
      <c r="Q48" s="305">
        <f>Test_Bible!Q107</f>
        <v>0</v>
      </c>
      <c r="R48" s="305"/>
      <c r="S48" s="164" t="s">
        <v>34</v>
      </c>
      <c r="T48" s="348" t="s">
        <v>34</v>
      </c>
      <c r="U48" s="349" t="s">
        <v>34</v>
      </c>
      <c r="V48" s="104" t="s">
        <v>309</v>
      </c>
      <c r="W48" s="419"/>
      <c r="X48" s="419"/>
      <c r="Y48" s="44"/>
      <c r="Z48" s="44"/>
      <c r="AA48" s="42"/>
      <c r="AB48" s="42"/>
      <c r="AC48" s="42"/>
      <c r="AD48" s="42"/>
      <c r="AE48" s="504"/>
      <c r="AF48" s="997"/>
      <c r="AG48" s="997"/>
      <c r="AH48" s="504"/>
      <c r="AI48" s="842"/>
      <c r="AJ48" s="843"/>
      <c r="AO48" s="25" t="s">
        <v>1537</v>
      </c>
      <c r="AP48" s="68" t="s">
        <v>2318</v>
      </c>
    </row>
    <row r="49" spans="1:58" s="82" customFormat="1" ht="40" customHeight="1" x14ac:dyDescent="0.2">
      <c r="A49" s="950" t="s">
        <v>66</v>
      </c>
      <c r="B49" s="106"/>
      <c r="C49" s="106"/>
      <c r="D49" s="324"/>
      <c r="E49" s="324"/>
      <c r="F49" s="325"/>
      <c r="G49" s="324"/>
      <c r="H49" s="325"/>
      <c r="I49" s="325"/>
      <c r="J49" s="324"/>
      <c r="K49" s="324"/>
      <c r="L49" s="324"/>
      <c r="M49" s="324"/>
      <c r="N49" s="326"/>
      <c r="O49" s="1519"/>
      <c r="P49" s="309" t="str">
        <f>Test_Bible!P162</f>
        <v>Fréquence seul.</v>
      </c>
      <c r="Q49" s="309" t="str">
        <f>Test_Bible!Q162</f>
        <v>Fréquence * Intensité
(valeur de base)</v>
      </c>
      <c r="R49" s="1082" t="s">
        <v>1538</v>
      </c>
      <c r="S49" s="327"/>
      <c r="T49" s="328"/>
      <c r="U49" s="328"/>
      <c r="V49" s="329"/>
      <c r="W49" s="422"/>
      <c r="X49" s="422"/>
      <c r="Y49" s="948"/>
      <c r="Z49" s="948"/>
      <c r="AA49" s="949"/>
      <c r="AB49" s="949"/>
      <c r="AC49" s="949"/>
      <c r="AD49" s="949"/>
      <c r="AE49" s="504"/>
      <c r="AF49" s="990"/>
      <c r="AG49" s="990"/>
      <c r="AH49" s="504"/>
      <c r="AI49" s="267"/>
      <c r="AJ49" s="1002"/>
    </row>
    <row r="50" spans="1:58" s="82" customFormat="1" ht="60" customHeight="1" thickBot="1" x14ac:dyDescent="0.25">
      <c r="D50" s="397">
        <v>0</v>
      </c>
      <c r="E50" s="330" t="s">
        <v>1344</v>
      </c>
      <c r="F50" s="331" t="s">
        <v>1345</v>
      </c>
      <c r="G50" s="330"/>
      <c r="H50" s="331"/>
      <c r="I50" s="331"/>
      <c r="J50" s="108" t="s">
        <v>1305</v>
      </c>
      <c r="K50" s="200">
        <v>6</v>
      </c>
      <c r="L50" s="555">
        <v>1</v>
      </c>
      <c r="M50" s="555"/>
      <c r="N50" s="794" t="s">
        <v>386</v>
      </c>
      <c r="O50" s="787" t="s">
        <v>1157</v>
      </c>
      <c r="Q50" s="6">
        <f>Test_Bible!Q110</f>
        <v>1</v>
      </c>
      <c r="S50" s="315" t="s">
        <v>34</v>
      </c>
      <c r="T50" s="339" t="s">
        <v>34</v>
      </c>
      <c r="U50" s="342" t="s">
        <v>34</v>
      </c>
      <c r="V50" s="660" t="s">
        <v>55</v>
      </c>
      <c r="W50" s="1044" t="s">
        <v>55</v>
      </c>
      <c r="X50" s="1045" t="s">
        <v>2318</v>
      </c>
      <c r="Y50" s="1046" t="s">
        <v>2319</v>
      </c>
      <c r="Z50" s="1047" t="s">
        <v>309</v>
      </c>
      <c r="AA50" s="1048" t="s">
        <v>336</v>
      </c>
      <c r="AB50" s="1049" t="s">
        <v>337</v>
      </c>
      <c r="AC50" s="1050" t="s">
        <v>310</v>
      </c>
      <c r="AD50" s="1051" t="s">
        <v>2321</v>
      </c>
      <c r="AE50" s="504"/>
      <c r="AF50" s="990"/>
      <c r="AG50" s="990"/>
      <c r="AH50" s="504"/>
      <c r="AI50" s="267"/>
      <c r="AJ50" s="1002"/>
      <c r="AO50" s="82" t="str" cm="1">
        <f t="array" ref="AO50:BF59">_xlfn._xlws.FILTER(E50:V234,V50:V234=AP48)</f>
        <v>PFA04</v>
      </c>
      <c r="AP50" s="82" t="str">
        <v>L’autre parent laisse entendre à votre enfant que vous avez abandonné la famille.</v>
      </c>
      <c r="AQ50" s="82" t="str">
        <v xml:space="preserve">Quelle est la probabilité de l'énoncé suivant? L’autre parent laissait entendre à votre enfant que vous aviez abandonné la famille. </v>
      </c>
      <c r="AR50" s="82">
        <v>0</v>
      </c>
      <c r="AS50" s="82">
        <v>0</v>
      </c>
      <c r="AT50" s="82">
        <v>0</v>
      </c>
      <c r="AU50" s="82">
        <v>4</v>
      </c>
      <c r="AV50" s="82">
        <v>1</v>
      </c>
      <c r="AW50" s="82">
        <v>0</v>
      </c>
      <c r="AX50" s="82" t="str">
        <v>E4A</v>
      </c>
      <c r="AY50" s="82" t="str">
        <v>Nulle / Très faible / Faible / Moyenne / Élevée / Très élevée / S.O.</v>
      </c>
      <c r="AZ50" s="82">
        <v>7</v>
      </c>
      <c r="BA50" s="82">
        <v>7</v>
      </c>
      <c r="BB50" s="82" t="str">
        <v>Laisse entendre à l'enfant que l'autre parent a abandonné la famille</v>
      </c>
      <c r="BC50" s="82">
        <v>0</v>
      </c>
      <c r="BD50" s="82">
        <v>1</v>
      </c>
      <c r="BE50" s="82">
        <v>0</v>
      </c>
      <c r="BF50" s="82" t="str">
        <v>Altération ou dévoiement de la réalité</v>
      </c>
    </row>
    <row r="51" spans="1:58" ht="78" customHeight="1" thickBot="1" x14ac:dyDescent="0.3">
      <c r="A51" s="174" t="s">
        <v>1346</v>
      </c>
      <c r="C51" s="775" t="s">
        <v>1189</v>
      </c>
      <c r="D51" s="1619">
        <v>1</v>
      </c>
      <c r="E51" s="777" t="s">
        <v>694</v>
      </c>
      <c r="F51" s="331" t="s">
        <v>1347</v>
      </c>
      <c r="G51" s="508" t="s">
        <v>816</v>
      </c>
      <c r="H51" s="225"/>
      <c r="I51" s="902"/>
      <c r="J51" s="187"/>
      <c r="K51" s="321">
        <v>2</v>
      </c>
      <c r="L51" s="1588">
        <v>1</v>
      </c>
      <c r="M51" s="1587">
        <v>0</v>
      </c>
      <c r="N51" s="793" t="s">
        <v>15</v>
      </c>
      <c r="O51" s="272" t="s">
        <v>750</v>
      </c>
      <c r="P51" s="322"/>
      <c r="Q51" s="322">
        <f>Test_Bible!Q112</f>
        <v>0</v>
      </c>
      <c r="R51" s="322" t="s">
        <v>2322</v>
      </c>
      <c r="S51" s="1279">
        <v>0.5</v>
      </c>
      <c r="T51" s="1280">
        <v>0.5</v>
      </c>
      <c r="U51" s="1281">
        <v>0</v>
      </c>
      <c r="V51" s="652" t="s">
        <v>2319</v>
      </c>
      <c r="W51" s="1255"/>
      <c r="X51" s="1255"/>
      <c r="Y51" s="1255">
        <v>1</v>
      </c>
      <c r="Z51" s="1255"/>
      <c r="AA51" s="1255"/>
      <c r="AB51" s="1255"/>
      <c r="AC51" s="1255"/>
      <c r="AD51" s="1255"/>
      <c r="AE51" s="1255"/>
      <c r="AF51" s="1004"/>
      <c r="AG51" s="1004"/>
      <c r="AH51" s="1003"/>
      <c r="AI51" s="1005"/>
      <c r="AJ51" s="1006"/>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7</v>
      </c>
      <c r="BA51">
        <v>14</v>
      </c>
      <c r="BB51" t="str">
        <v>Laisse entendre à l'enfant qu'il n'est pas aimé de l'autre parent</v>
      </c>
      <c r="BC51">
        <v>0</v>
      </c>
      <c r="BD51">
        <v>1</v>
      </c>
      <c r="BE51">
        <v>0</v>
      </c>
      <c r="BF51" t="str">
        <v>Altération ou dévoiement de la réalité</v>
      </c>
    </row>
    <row r="52" spans="1:58" ht="65" customHeight="1" thickBot="1" x14ac:dyDescent="0.3">
      <c r="B52" s="99" t="s">
        <v>1261</v>
      </c>
      <c r="D52" s="1619">
        <v>2</v>
      </c>
      <c r="E52" s="1634" t="s">
        <v>814</v>
      </c>
      <c r="F52" s="274" t="s">
        <v>1348</v>
      </c>
      <c r="G52" s="509" t="s">
        <v>817</v>
      </c>
      <c r="H52" s="225"/>
      <c r="I52" s="902"/>
      <c r="J52" s="187"/>
      <c r="K52" s="321">
        <v>4</v>
      </c>
      <c r="L52" s="1588">
        <v>2</v>
      </c>
      <c r="M52" s="1587"/>
      <c r="N52" s="793" t="s">
        <v>3</v>
      </c>
      <c r="O52" s="272" t="s">
        <v>1113</v>
      </c>
      <c r="P52" s="322"/>
      <c r="Q52" s="322">
        <f>Test_Bible!Q113</f>
        <v>0</v>
      </c>
      <c r="R52" s="322" t="s">
        <v>2323</v>
      </c>
      <c r="S52" s="1279">
        <v>0.33</v>
      </c>
      <c r="T52" s="1280">
        <v>0.34</v>
      </c>
      <c r="U52" s="1281">
        <v>0.33</v>
      </c>
      <c r="V52" s="652" t="s">
        <v>2319</v>
      </c>
      <c r="W52" s="1255"/>
      <c r="X52" s="1255"/>
      <c r="Y52" s="1255">
        <v>1</v>
      </c>
      <c r="Z52" s="1255"/>
      <c r="AA52" s="1255"/>
      <c r="AB52" s="1255"/>
      <c r="AC52" s="1255"/>
      <c r="AD52" s="1255"/>
      <c r="AE52" s="1255"/>
      <c r="AF52" s="1004"/>
      <c r="AG52" s="1004"/>
      <c r="AH52" s="1003"/>
      <c r="AI52" s="1005"/>
      <c r="AJ52" s="1006"/>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7</v>
      </c>
      <c r="BA52">
        <v>14</v>
      </c>
      <c r="BB52" t="str">
        <v>Laisse entendre à l'enfant qu'il n'est pas en sécurité avec l'autre parent</v>
      </c>
      <c r="BC52">
        <v>0</v>
      </c>
      <c r="BD52">
        <v>1</v>
      </c>
      <c r="BE52">
        <v>0</v>
      </c>
      <c r="BF52" t="str">
        <v>Altération ou dévoiement de la réalité</v>
      </c>
    </row>
    <row r="53" spans="1:58" ht="60" customHeight="1" x14ac:dyDescent="0.25">
      <c r="B53" s="99" t="s">
        <v>1265</v>
      </c>
      <c r="D53" s="1619">
        <v>3</v>
      </c>
      <c r="E53" s="1634" t="s">
        <v>1125</v>
      </c>
      <c r="F53" s="846" t="s">
        <v>1349</v>
      </c>
      <c r="G53" s="847" t="s">
        <v>818</v>
      </c>
      <c r="H53" s="225"/>
      <c r="I53" s="902"/>
      <c r="J53" s="187"/>
      <c r="K53" s="321"/>
      <c r="L53" s="1588">
        <v>3</v>
      </c>
      <c r="M53" s="1587"/>
      <c r="N53" s="793" t="s">
        <v>3</v>
      </c>
      <c r="O53" s="272" t="s">
        <v>1113</v>
      </c>
      <c r="P53" s="322"/>
      <c r="Q53" s="322">
        <f>Test_Bible!Q114</f>
        <v>0</v>
      </c>
      <c r="R53" s="322" t="s">
        <v>1577</v>
      </c>
      <c r="S53" s="1282">
        <v>0</v>
      </c>
      <c r="T53" s="1283">
        <v>0.5</v>
      </c>
      <c r="U53" s="1284">
        <v>0.5</v>
      </c>
      <c r="V53" s="653" t="s">
        <v>309</v>
      </c>
      <c r="W53" s="1255"/>
      <c r="X53" s="1255"/>
      <c r="Y53" s="1255"/>
      <c r="Z53" s="1255">
        <v>1</v>
      </c>
      <c r="AA53" s="1255"/>
      <c r="AB53" s="1255"/>
      <c r="AC53" s="1255"/>
      <c r="AD53" s="1255"/>
      <c r="AE53" s="1255"/>
      <c r="AF53" s="1004"/>
      <c r="AG53" s="1004"/>
      <c r="AH53" s="1003"/>
      <c r="AI53" s="1005"/>
      <c r="AJ53" s="1006"/>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10</v>
      </c>
      <c r="BA53">
        <v>20</v>
      </c>
      <c r="BB53" t="str">
        <v>Laisse entendre à une instabilité psychologique chez l'autre parent</v>
      </c>
      <c r="BC53">
        <v>0</v>
      </c>
      <c r="BD53">
        <v>1</v>
      </c>
      <c r="BE53">
        <v>0</v>
      </c>
      <c r="BF53" t="str">
        <v>Altération ou dévoiement de la réalité</v>
      </c>
    </row>
    <row r="54" spans="1:58" ht="113" customHeight="1" thickBot="1" x14ac:dyDescent="0.25">
      <c r="B54" s="99" t="s">
        <v>1261</v>
      </c>
      <c r="D54" s="1619">
        <v>4</v>
      </c>
      <c r="E54" s="780" t="s">
        <v>815</v>
      </c>
      <c r="F54" s="274" t="s">
        <v>1128</v>
      </c>
      <c r="G54" s="854" t="s">
        <v>822</v>
      </c>
      <c r="H54" s="262" t="s">
        <v>1129</v>
      </c>
      <c r="I54" s="905"/>
      <c r="J54" s="222" t="s">
        <v>50</v>
      </c>
      <c r="K54" s="204"/>
      <c r="L54" s="1589"/>
      <c r="M54" s="1069"/>
      <c r="N54" s="794" t="s">
        <v>65</v>
      </c>
      <c r="O54" s="1534" t="s">
        <v>1263</v>
      </c>
      <c r="P54" s="312"/>
      <c r="Q54" s="312"/>
      <c r="R54" s="312"/>
      <c r="S54" s="315" t="s">
        <v>34</v>
      </c>
      <c r="T54" s="339" t="s">
        <v>34</v>
      </c>
      <c r="U54" s="342" t="s">
        <v>34</v>
      </c>
      <c r="V54" s="653" t="s">
        <v>309</v>
      </c>
      <c r="W54" s="426"/>
      <c r="X54" s="426"/>
      <c r="Y54" s="413"/>
      <c r="Z54" s="1255">
        <v>1</v>
      </c>
      <c r="AE54" s="1007"/>
      <c r="AF54" s="1008"/>
      <c r="AG54" s="1008"/>
      <c r="AH54" s="1007"/>
      <c r="AI54" s="1009"/>
      <c r="AJ54" s="1010"/>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Modifie certains faits passés</v>
      </c>
      <c r="BC54">
        <v>0</v>
      </c>
      <c r="BD54">
        <v>0.5</v>
      </c>
      <c r="BE54">
        <v>0.5</v>
      </c>
      <c r="BF54" t="str">
        <v>Altération ou dévoiement de la réalité</v>
      </c>
    </row>
    <row r="55" spans="1:58" ht="60" customHeight="1" x14ac:dyDescent="0.2">
      <c r="A55" s="174" t="s">
        <v>1200</v>
      </c>
      <c r="C55" t="s">
        <v>753</v>
      </c>
      <c r="D55" s="1619">
        <v>12</v>
      </c>
      <c r="E55" s="777" t="s">
        <v>69</v>
      </c>
      <c r="F55" s="848" t="s">
        <v>1357</v>
      </c>
      <c r="G55" s="849" t="s">
        <v>819</v>
      </c>
      <c r="H55" s="225"/>
      <c r="I55" s="902"/>
      <c r="J55" s="187" t="s">
        <v>67</v>
      </c>
      <c r="K55" s="201"/>
      <c r="L55" s="541">
        <v>1</v>
      </c>
      <c r="M55" s="541"/>
      <c r="N55" s="1638" t="s">
        <v>3</v>
      </c>
      <c r="O55" s="1531" t="s">
        <v>1113</v>
      </c>
      <c r="P55" s="322"/>
      <c r="Q55" s="322">
        <f>Test_Bible!Q123</f>
        <v>10</v>
      </c>
      <c r="R55" s="322" t="s">
        <v>2031</v>
      </c>
      <c r="S55" s="1282">
        <v>1</v>
      </c>
      <c r="T55" s="1283"/>
      <c r="U55" s="1284"/>
      <c r="V55" s="652" t="s">
        <v>2319</v>
      </c>
      <c r="W55" s="1255"/>
      <c r="X55" s="1255"/>
      <c r="Y55" s="1255">
        <v>1</v>
      </c>
      <c r="Z55" s="1255"/>
      <c r="AA55" s="1255"/>
      <c r="AB55" s="1255"/>
      <c r="AC55" s="1255"/>
      <c r="AD55" s="1255"/>
      <c r="AE55" s="1256" t="s">
        <v>67</v>
      </c>
      <c r="AF55" s="1008"/>
      <c r="AG55" s="1008"/>
      <c r="AH55" s="1003"/>
      <c r="AI55" s="1009"/>
      <c r="AJ55" s="1010"/>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7</v>
      </c>
      <c r="BA55">
        <v>21</v>
      </c>
      <c r="BB55" t="str">
        <v>Déforme les souvenirs de l'enfant</v>
      </c>
      <c r="BC55">
        <v>0</v>
      </c>
      <c r="BD55">
        <v>1</v>
      </c>
      <c r="BE55">
        <v>0</v>
      </c>
      <c r="BF55" t="str">
        <v>Altération ou dévoiement de la réalité</v>
      </c>
    </row>
    <row r="56" spans="1:58" ht="90" customHeight="1" x14ac:dyDescent="0.2">
      <c r="D56" s="1619">
        <v>9</v>
      </c>
      <c r="E56" s="777" t="s">
        <v>813</v>
      </c>
      <c r="F56" s="331" t="s">
        <v>1354</v>
      </c>
      <c r="G56" s="486" t="s">
        <v>458</v>
      </c>
      <c r="H56" s="225"/>
      <c r="I56" s="902"/>
      <c r="J56" s="187"/>
      <c r="K56" s="201"/>
      <c r="L56" s="541">
        <v>1</v>
      </c>
      <c r="M56" s="541"/>
      <c r="N56" s="797" t="s">
        <v>43</v>
      </c>
      <c r="O56" s="1531" t="s">
        <v>1114</v>
      </c>
      <c r="P56" s="311">
        <f>Test_Bible!P124</f>
        <v>1</v>
      </c>
      <c r="Q56" s="311">
        <f>Test_Bible!Q124</f>
        <v>1</v>
      </c>
      <c r="R56" s="311" t="s">
        <v>2324</v>
      </c>
      <c r="S56" s="315">
        <v>1</v>
      </c>
      <c r="T56" s="339">
        <v>0</v>
      </c>
      <c r="U56" s="340">
        <v>0</v>
      </c>
      <c r="V56" s="652" t="s">
        <v>2319</v>
      </c>
      <c r="W56" s="426"/>
      <c r="X56" s="426"/>
      <c r="Y56" s="414">
        <v>1</v>
      </c>
      <c r="Z56" s="427"/>
      <c r="AA56" s="1254"/>
      <c r="AB56" s="1254"/>
      <c r="AC56" s="1254"/>
      <c r="AD56" s="1254"/>
      <c r="AE56" s="1256"/>
      <c r="AF56" s="1008"/>
      <c r="AG56" s="1008"/>
      <c r="AH56" s="1003"/>
      <c r="AI56" s="1009"/>
      <c r="AJ56" s="1010"/>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1</v>
      </c>
      <c r="BA56">
        <v>1</v>
      </c>
      <c r="BB56" t="str">
        <v>Pense qu'il a été abandonné</v>
      </c>
      <c r="BC56">
        <v>0</v>
      </c>
      <c r="BD56">
        <v>0.5</v>
      </c>
      <c r="BE56">
        <v>0.5</v>
      </c>
      <c r="BF56" t="str">
        <v>Altération ou dévoiement de la réalité</v>
      </c>
    </row>
    <row r="57" spans="1:58" s="7" customFormat="1" ht="104" customHeight="1" x14ac:dyDescent="0.2">
      <c r="D57" s="1619">
        <v>16</v>
      </c>
      <c r="E57" s="778" t="s">
        <v>70</v>
      </c>
      <c r="F57" s="331" t="s">
        <v>1360</v>
      </c>
      <c r="G57" s="852" t="s">
        <v>820</v>
      </c>
      <c r="H57" s="226"/>
      <c r="I57" s="903"/>
      <c r="J57" s="188"/>
      <c r="K57" s="202"/>
      <c r="L57" s="541">
        <v>1</v>
      </c>
      <c r="M57" s="541"/>
      <c r="N57" s="794" t="s">
        <v>3</v>
      </c>
      <c r="O57" s="272" t="s">
        <v>1113</v>
      </c>
      <c r="P57" s="311">
        <f>Test_Bible!P125</f>
        <v>4</v>
      </c>
      <c r="Q57" s="311">
        <f>Test_Bible!Q125</f>
        <v>4</v>
      </c>
      <c r="R57" s="311" t="s">
        <v>2325</v>
      </c>
      <c r="S57" s="316">
        <v>0</v>
      </c>
      <c r="T57" s="317">
        <v>0</v>
      </c>
      <c r="U57" s="318">
        <v>1</v>
      </c>
      <c r="V57" s="652" t="s">
        <v>2319</v>
      </c>
      <c r="W57" s="426"/>
      <c r="X57" s="426"/>
      <c r="Y57" s="414">
        <v>1</v>
      </c>
      <c r="Z57" s="427"/>
      <c r="AA57" s="42"/>
      <c r="AB57" s="42"/>
      <c r="AC57" s="42"/>
      <c r="AD57" s="42"/>
      <c r="AE57" s="504"/>
      <c r="AF57" s="990"/>
      <c r="AG57" s="990"/>
      <c r="AH57" s="1003" t="s">
        <v>25</v>
      </c>
      <c r="AI57" s="842"/>
      <c r="AJ57" s="843" t="s">
        <v>560</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0</v>
      </c>
      <c r="BA57" s="7">
        <v>0</v>
      </c>
      <c r="BB57" s="7" t="str">
        <v>Pense que son parent souffre de maladie mentale</v>
      </c>
      <c r="BC57" s="7">
        <v>0</v>
      </c>
      <c r="BD57" s="7">
        <v>1</v>
      </c>
      <c r="BE57" s="7">
        <v>0</v>
      </c>
      <c r="BF57" s="7" t="str">
        <v>Altération ou dévoiement de la réalité</v>
      </c>
    </row>
    <row r="58" spans="1:58" ht="99" customHeight="1" x14ac:dyDescent="0.2">
      <c r="D58" s="1619">
        <v>17</v>
      </c>
      <c r="E58" s="779" t="s">
        <v>71</v>
      </c>
      <c r="F58" s="331" t="s">
        <v>1361</v>
      </c>
      <c r="G58" s="853" t="s">
        <v>821</v>
      </c>
      <c r="H58" s="228"/>
      <c r="I58" s="904"/>
      <c r="J58" s="221"/>
      <c r="K58" s="203">
        <v>2</v>
      </c>
      <c r="L58" s="541">
        <v>1</v>
      </c>
      <c r="M58" s="541"/>
      <c r="N58" s="794" t="s">
        <v>3</v>
      </c>
      <c r="O58" s="272" t="s">
        <v>1113</v>
      </c>
      <c r="P58" s="311">
        <f>Test_Bible!P126</f>
        <v>2</v>
      </c>
      <c r="Q58" s="311">
        <f>Test_Bible!Q126</f>
        <v>2</v>
      </c>
      <c r="R58" s="311" t="s">
        <v>2326</v>
      </c>
      <c r="S58" s="315">
        <v>1</v>
      </c>
      <c r="T58" s="339">
        <v>0</v>
      </c>
      <c r="U58" s="342">
        <v>0</v>
      </c>
      <c r="V58" s="653" t="s">
        <v>309</v>
      </c>
      <c r="W58" s="426"/>
      <c r="X58" s="426"/>
      <c r="Y58" s="413"/>
      <c r="Z58" s="427">
        <v>1</v>
      </c>
      <c r="AE58" s="1007"/>
      <c r="AF58" s="1008"/>
      <c r="AG58" s="1008"/>
      <c r="AH58" s="1007"/>
      <c r="AI58" s="1009"/>
      <c r="AJ58" s="1010"/>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Altération ou dévoiement de la réalité</v>
      </c>
    </row>
    <row r="59" spans="1:58" ht="86" customHeight="1" x14ac:dyDescent="0.2">
      <c r="A59" s="174" t="s">
        <v>1262</v>
      </c>
      <c r="B59" s="99" t="s">
        <v>702</v>
      </c>
      <c r="D59" s="1619">
        <v>18</v>
      </c>
      <c r="E59" s="780" t="s">
        <v>73</v>
      </c>
      <c r="F59" s="274" t="s">
        <v>377</v>
      </c>
      <c r="G59" s="854" t="s">
        <v>822</v>
      </c>
      <c r="H59" s="262" t="s">
        <v>1127</v>
      </c>
      <c r="I59" s="905"/>
      <c r="J59" s="222" t="s">
        <v>50</v>
      </c>
      <c r="K59" s="204"/>
      <c r="L59" s="1591"/>
      <c r="M59" s="1590"/>
      <c r="N59" s="794" t="s">
        <v>65</v>
      </c>
      <c r="O59" s="1534" t="s">
        <v>1264</v>
      </c>
      <c r="P59" s="312"/>
      <c r="Q59" s="312"/>
      <c r="R59" s="312"/>
      <c r="S59" s="315" t="s">
        <v>34</v>
      </c>
      <c r="T59" s="339" t="s">
        <v>34</v>
      </c>
      <c r="U59" s="342" t="s">
        <v>34</v>
      </c>
      <c r="V59" s="653" t="s">
        <v>309</v>
      </c>
      <c r="W59" s="426"/>
      <c r="X59" s="426"/>
      <c r="Y59" s="413"/>
      <c r="Z59" s="427">
        <v>1</v>
      </c>
      <c r="AE59" s="1007"/>
      <c r="AF59" s="1008"/>
      <c r="AG59" s="1008"/>
      <c r="AH59" s="1007"/>
      <c r="AI59" s="1009"/>
      <c r="AJ59" s="1010"/>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7</v>
      </c>
      <c r="BA59">
        <v>14</v>
      </c>
      <c r="BB59" t="str">
        <v>Manque de sécurité chez l'autre</v>
      </c>
      <c r="BC59">
        <v>0.5</v>
      </c>
      <c r="BD59">
        <v>0</v>
      </c>
      <c r="BE59">
        <v>0.5</v>
      </c>
      <c r="BF59" t="str">
        <v>Altération ou dévoiement de la réalité</v>
      </c>
    </row>
    <row r="60" spans="1:58" ht="52" customHeight="1" x14ac:dyDescent="0.2">
      <c r="D60" s="1619">
        <v>19</v>
      </c>
      <c r="E60" s="781" t="s">
        <v>74</v>
      </c>
      <c r="F60" s="331" t="s">
        <v>1362</v>
      </c>
      <c r="G60" s="855" t="s">
        <v>823</v>
      </c>
      <c r="H60" s="228"/>
      <c r="I60" s="904"/>
      <c r="J60" s="186"/>
      <c r="K60" s="201"/>
      <c r="L60" s="541">
        <v>1</v>
      </c>
      <c r="M60" s="541"/>
      <c r="N60" s="797" t="s">
        <v>3</v>
      </c>
      <c r="O60" s="1531" t="s">
        <v>1113</v>
      </c>
      <c r="P60" s="311">
        <f>Test_Bible!P134</f>
        <v>2</v>
      </c>
      <c r="Q60" s="311">
        <f>Test_Bible!Q134</f>
        <v>2</v>
      </c>
      <c r="R60" s="311" t="s">
        <v>1579</v>
      </c>
      <c r="S60" s="319">
        <v>0</v>
      </c>
      <c r="T60" s="339">
        <v>0</v>
      </c>
      <c r="U60" s="342">
        <v>1</v>
      </c>
      <c r="V60" s="653" t="s">
        <v>309</v>
      </c>
      <c r="W60" s="426"/>
      <c r="X60" s="426"/>
      <c r="Y60" s="414"/>
      <c r="Z60" s="427">
        <v>1</v>
      </c>
      <c r="AE60" s="1011"/>
      <c r="AF60" s="1011"/>
      <c r="AG60" s="1008"/>
      <c r="AH60" s="1003" t="s">
        <v>25</v>
      </c>
      <c r="AI60" s="1009"/>
      <c r="AJ60" s="1012" t="s">
        <v>535</v>
      </c>
    </row>
    <row r="61" spans="1:58" ht="92" customHeight="1" x14ac:dyDescent="0.2">
      <c r="C61" s="775" t="s">
        <v>1510</v>
      </c>
      <c r="D61" s="1619">
        <v>11</v>
      </c>
      <c r="E61" s="781" t="s">
        <v>75</v>
      </c>
      <c r="F61" s="331" t="s">
        <v>1356</v>
      </c>
      <c r="G61" s="852" t="s">
        <v>824</v>
      </c>
      <c r="H61" s="228"/>
      <c r="I61" s="904"/>
      <c r="J61" s="186" t="s">
        <v>67</v>
      </c>
      <c r="K61" s="203">
        <v>2</v>
      </c>
      <c r="L61" s="541">
        <v>1</v>
      </c>
      <c r="M61" s="548">
        <v>3</v>
      </c>
      <c r="N61" s="797" t="s">
        <v>9</v>
      </c>
      <c r="O61" s="1531" t="s">
        <v>1220</v>
      </c>
      <c r="P61" s="311">
        <f>Test_Bible!P135</f>
        <v>4</v>
      </c>
      <c r="Q61" s="311">
        <f>Test_Bible!Q135</f>
        <v>12</v>
      </c>
      <c r="R61" s="311" t="s">
        <v>1544</v>
      </c>
      <c r="S61" s="315">
        <v>1</v>
      </c>
      <c r="T61" s="339">
        <v>0</v>
      </c>
      <c r="U61" s="340">
        <v>0</v>
      </c>
      <c r="V61" s="654" t="s">
        <v>336</v>
      </c>
      <c r="W61" s="426"/>
      <c r="X61" s="426"/>
      <c r="Y61" s="413"/>
      <c r="Z61" s="427"/>
      <c r="AA61" s="1052">
        <v>1</v>
      </c>
      <c r="AE61" s="1007"/>
      <c r="AF61" s="1008"/>
      <c r="AG61" s="1008"/>
      <c r="AH61" s="1003" t="s">
        <v>25</v>
      </c>
      <c r="AI61" s="1005"/>
      <c r="AJ61" s="1013" t="s">
        <v>548</v>
      </c>
    </row>
    <row r="62" spans="1:58" ht="88" customHeight="1" x14ac:dyDescent="0.2">
      <c r="C62" s="775" t="s">
        <v>791</v>
      </c>
      <c r="D62" s="1619">
        <v>23</v>
      </c>
      <c r="E62" s="782" t="s">
        <v>76</v>
      </c>
      <c r="F62" s="331" t="s">
        <v>1366</v>
      </c>
      <c r="G62" s="852" t="s">
        <v>459</v>
      </c>
      <c r="H62" s="600"/>
      <c r="I62" s="906"/>
      <c r="J62" s="601"/>
      <c r="K62" s="205"/>
      <c r="L62" s="549">
        <v>2</v>
      </c>
      <c r="M62" s="548">
        <v>3</v>
      </c>
      <c r="N62" s="797" t="s">
        <v>3</v>
      </c>
      <c r="O62" s="1531" t="s">
        <v>1113</v>
      </c>
      <c r="P62" s="311">
        <f>Test_Bible!P136</f>
        <v>2</v>
      </c>
      <c r="Q62" s="311">
        <f>Test_Bible!Q136</f>
        <v>6</v>
      </c>
      <c r="R62" s="311" t="s">
        <v>2327</v>
      </c>
      <c r="S62" s="315">
        <v>1</v>
      </c>
      <c r="T62" s="317">
        <v>0</v>
      </c>
      <c r="U62" s="318">
        <v>0</v>
      </c>
      <c r="V62" s="654" t="s">
        <v>336</v>
      </c>
      <c r="W62" s="426"/>
      <c r="X62" s="426"/>
      <c r="Y62" s="413"/>
      <c r="Z62" s="427"/>
      <c r="AA62" s="1052">
        <v>1</v>
      </c>
    </row>
    <row r="63" spans="1:58" ht="68" customHeight="1" x14ac:dyDescent="0.2">
      <c r="D63" s="1619">
        <v>7</v>
      </c>
      <c r="E63" s="1234" t="s">
        <v>1011</v>
      </c>
      <c r="F63" s="1620" t="s">
        <v>1352</v>
      </c>
      <c r="G63" s="856" t="s">
        <v>825</v>
      </c>
      <c r="H63" s="205"/>
      <c r="I63" s="906"/>
      <c r="J63" s="601"/>
      <c r="K63" s="205"/>
      <c r="L63" s="541">
        <v>1</v>
      </c>
      <c r="M63" s="541"/>
      <c r="N63" s="797" t="s">
        <v>1204</v>
      </c>
      <c r="O63" s="1531" t="s">
        <v>1206</v>
      </c>
      <c r="P63" s="311">
        <f>Test_Bible!P137</f>
        <v>4</v>
      </c>
      <c r="Q63" s="311">
        <f>Test_Bible!Q137</f>
        <v>4</v>
      </c>
      <c r="R63" s="311" t="s">
        <v>2328</v>
      </c>
      <c r="S63" s="315">
        <v>0</v>
      </c>
      <c r="T63" s="317">
        <v>0</v>
      </c>
      <c r="U63" s="318">
        <v>0</v>
      </c>
      <c r="V63" s="655" t="s">
        <v>337</v>
      </c>
      <c r="W63" s="426"/>
      <c r="X63" s="426"/>
      <c r="Y63" s="414"/>
      <c r="Z63" s="427"/>
      <c r="AA63" s="1052"/>
      <c r="AB63" s="1052">
        <v>1</v>
      </c>
      <c r="AE63" s="1007" t="s">
        <v>24</v>
      </c>
      <c r="AF63" s="263" t="s">
        <v>496</v>
      </c>
      <c r="AG63" s="997"/>
    </row>
    <row r="64" spans="1:58" ht="96" customHeight="1" x14ac:dyDescent="0.2">
      <c r="D64" s="1619">
        <v>8</v>
      </c>
      <c r="E64" s="782" t="s">
        <v>77</v>
      </c>
      <c r="F64" s="1620" t="s">
        <v>1353</v>
      </c>
      <c r="G64" s="856" t="s">
        <v>826</v>
      </c>
      <c r="H64" s="602"/>
      <c r="I64" s="907"/>
      <c r="J64" s="603"/>
      <c r="K64" s="205"/>
      <c r="L64" s="541">
        <v>1</v>
      </c>
      <c r="M64" s="541"/>
      <c r="N64" s="797" t="s">
        <v>1204</v>
      </c>
      <c r="O64" s="1531" t="s">
        <v>1206</v>
      </c>
      <c r="P64" s="311">
        <f>Test_Bible!P138</f>
        <v>1</v>
      </c>
      <c r="Q64" s="311">
        <f>Test_Bible!Q138</f>
        <v>1</v>
      </c>
      <c r="R64" s="311" t="s">
        <v>2329</v>
      </c>
      <c r="S64" s="316">
        <v>0</v>
      </c>
      <c r="T64" s="317">
        <v>1</v>
      </c>
      <c r="U64" s="318">
        <v>0</v>
      </c>
      <c r="V64" s="655" t="s">
        <v>337</v>
      </c>
      <c r="W64" s="426"/>
      <c r="X64" s="426"/>
      <c r="Y64" s="413"/>
      <c r="Z64" s="427"/>
      <c r="AB64" s="1052">
        <v>1</v>
      </c>
      <c r="AE64" s="1007"/>
      <c r="AG64" s="997"/>
    </row>
    <row r="65" spans="1:98" ht="90" customHeight="1" x14ac:dyDescent="0.2">
      <c r="D65" s="1619">
        <v>10</v>
      </c>
      <c r="E65" s="782" t="s">
        <v>78</v>
      </c>
      <c r="F65" s="331" t="s">
        <v>1355</v>
      </c>
      <c r="G65" s="856" t="s">
        <v>827</v>
      </c>
      <c r="H65" s="228"/>
      <c r="I65" s="904"/>
      <c r="J65" s="186" t="s">
        <v>67</v>
      </c>
      <c r="K65" s="201"/>
      <c r="L65" s="549">
        <v>2</v>
      </c>
      <c r="M65" s="549"/>
      <c r="N65" s="797" t="s">
        <v>43</v>
      </c>
      <c r="O65" s="1531" t="s">
        <v>1114</v>
      </c>
      <c r="P65" s="311">
        <f>Test_Bible!P139</f>
        <v>1</v>
      </c>
      <c r="Q65" s="311">
        <f>Test_Bible!Q139</f>
        <v>2</v>
      </c>
      <c r="R65" s="311" t="s">
        <v>2330</v>
      </c>
      <c r="S65" s="316">
        <v>1</v>
      </c>
      <c r="T65" s="339">
        <v>0</v>
      </c>
      <c r="U65" s="340">
        <v>0</v>
      </c>
      <c r="V65" s="655" t="s">
        <v>337</v>
      </c>
      <c r="W65" s="426"/>
      <c r="X65" s="426"/>
      <c r="Y65" s="413"/>
      <c r="Z65" s="427"/>
      <c r="AB65" s="1052">
        <v>1</v>
      </c>
      <c r="AE65" s="1007" t="s">
        <v>67</v>
      </c>
      <c r="AF65" s="1008"/>
      <c r="AG65" s="1008"/>
      <c r="AH65" s="1007" t="s">
        <v>67</v>
      </c>
      <c r="AI65" s="1009"/>
      <c r="AJ65" s="1010"/>
    </row>
    <row r="66" spans="1:98" s="7" customFormat="1" ht="52" customHeight="1" x14ac:dyDescent="0.25">
      <c r="D66" s="1619">
        <v>14</v>
      </c>
      <c r="E66" s="781" t="s">
        <v>79</v>
      </c>
      <c r="F66" s="331" t="s">
        <v>1359</v>
      </c>
      <c r="G66" s="855" t="s">
        <v>828</v>
      </c>
      <c r="H66" s="230"/>
      <c r="I66" s="908"/>
      <c r="J66" s="188"/>
      <c r="K66" s="202">
        <v>4</v>
      </c>
      <c r="L66" s="549">
        <v>2</v>
      </c>
      <c r="M66" s="549"/>
      <c r="N66" s="797" t="s">
        <v>3</v>
      </c>
      <c r="O66" s="1531" t="s">
        <v>1113</v>
      </c>
      <c r="P66" s="311">
        <f>Test_Bible!P140</f>
        <v>2</v>
      </c>
      <c r="Q66" s="311">
        <f>Test_Bible!Q140</f>
        <v>4</v>
      </c>
      <c r="R66" s="311" t="s">
        <v>2331</v>
      </c>
      <c r="S66" s="319">
        <v>1</v>
      </c>
      <c r="T66" s="339">
        <v>0</v>
      </c>
      <c r="U66" s="340">
        <v>0</v>
      </c>
      <c r="V66" s="656" t="s">
        <v>337</v>
      </c>
      <c r="W66" s="426"/>
      <c r="X66" s="426"/>
      <c r="Y66" s="413"/>
      <c r="Z66" s="427"/>
      <c r="AA66" s="42"/>
      <c r="AB66" s="1052">
        <v>1</v>
      </c>
      <c r="AC66" s="42"/>
      <c r="AD66" s="42"/>
      <c r="AE66" s="1003" t="s">
        <v>24</v>
      </c>
      <c r="AF66" s="1004"/>
      <c r="AG66" s="1004"/>
      <c r="AH66" s="504" t="s">
        <v>25</v>
      </c>
      <c r="AI66" s="1005"/>
      <c r="AJ66" s="1006"/>
    </row>
    <row r="67" spans="1:98" s="7" customFormat="1" ht="120" customHeight="1" x14ac:dyDescent="0.2">
      <c r="B67" s="99" t="s">
        <v>703</v>
      </c>
      <c r="D67" s="1619">
        <v>15</v>
      </c>
      <c r="E67" s="783" t="s">
        <v>80</v>
      </c>
      <c r="F67" s="274" t="s">
        <v>378</v>
      </c>
      <c r="G67" s="701" t="s">
        <v>378</v>
      </c>
      <c r="H67" s="231" t="s">
        <v>1174</v>
      </c>
      <c r="I67" s="909"/>
      <c r="J67" s="223"/>
      <c r="K67" s="206"/>
      <c r="L67" s="549"/>
      <c r="M67" s="549"/>
      <c r="N67" s="794" t="s">
        <v>65</v>
      </c>
      <c r="O67" s="272"/>
      <c r="P67" s="313"/>
      <c r="Q67" s="313"/>
      <c r="R67" s="313"/>
      <c r="S67" s="315" t="s">
        <v>34</v>
      </c>
      <c r="T67" s="339" t="s">
        <v>34</v>
      </c>
      <c r="U67" s="342" t="s">
        <v>34</v>
      </c>
      <c r="V67" s="656" t="s">
        <v>337</v>
      </c>
      <c r="W67" s="426"/>
      <c r="X67" s="426"/>
      <c r="Y67" s="414"/>
      <c r="Z67" s="427"/>
      <c r="AA67" s="42"/>
      <c r="AB67" s="1052">
        <v>1</v>
      </c>
      <c r="AC67" s="42"/>
      <c r="AD67" s="42"/>
      <c r="AE67" s="1003" t="s">
        <v>24</v>
      </c>
      <c r="AF67" s="1012" t="s">
        <v>557</v>
      </c>
      <c r="AG67" s="1012"/>
      <c r="AH67" s="504" t="s">
        <v>25</v>
      </c>
      <c r="AI67" s="1009"/>
      <c r="AJ67" s="1010"/>
    </row>
    <row r="68" spans="1:98" ht="101" customHeight="1" x14ac:dyDescent="0.2">
      <c r="C68" s="2244" t="s">
        <v>1282</v>
      </c>
      <c r="D68" s="1619">
        <v>13</v>
      </c>
      <c r="E68" s="781" t="s">
        <v>82</v>
      </c>
      <c r="F68" s="331" t="s">
        <v>1358</v>
      </c>
      <c r="G68" s="508" t="s">
        <v>829</v>
      </c>
      <c r="H68" s="228"/>
      <c r="I68" s="904"/>
      <c r="J68" s="186" t="s">
        <v>67</v>
      </c>
      <c r="K68" s="201"/>
      <c r="L68" s="549">
        <v>2</v>
      </c>
      <c r="M68" s="548">
        <v>3</v>
      </c>
      <c r="N68" s="797" t="s">
        <v>3</v>
      </c>
      <c r="O68" s="1531" t="s">
        <v>1113</v>
      </c>
      <c r="P68" s="311">
        <f>Test_Bible!P149</f>
        <v>7</v>
      </c>
      <c r="Q68" s="311">
        <f>Test_Bible!Q149</f>
        <v>21</v>
      </c>
      <c r="R68" s="311" t="s">
        <v>1546</v>
      </c>
      <c r="S68" s="315">
        <v>1</v>
      </c>
      <c r="T68" s="339">
        <v>0</v>
      </c>
      <c r="U68" s="340">
        <v>0</v>
      </c>
      <c r="V68" s="657" t="s">
        <v>310</v>
      </c>
      <c r="W68" s="426"/>
      <c r="X68" s="426"/>
      <c r="Y68" s="413"/>
      <c r="Z68" s="427"/>
      <c r="AC68" s="1052">
        <v>1</v>
      </c>
      <c r="AE68" s="1007" t="s">
        <v>67</v>
      </c>
      <c r="AF68" s="1008"/>
      <c r="AG68" s="1008"/>
      <c r="AH68" s="504" t="s">
        <v>25</v>
      </c>
      <c r="AI68" s="1009"/>
      <c r="AJ68" s="1014" t="s">
        <v>574</v>
      </c>
    </row>
    <row r="69" spans="1:98" ht="74" customHeight="1" x14ac:dyDescent="0.2">
      <c r="C69" s="775" t="s">
        <v>792</v>
      </c>
      <c r="D69" s="1619">
        <v>20</v>
      </c>
      <c r="E69" s="781" t="s">
        <v>84</v>
      </c>
      <c r="F69" s="331" t="s">
        <v>1363</v>
      </c>
      <c r="G69" s="508" t="s">
        <v>830</v>
      </c>
      <c r="H69" s="228"/>
      <c r="I69" s="904"/>
      <c r="J69" s="186" t="s">
        <v>67</v>
      </c>
      <c r="K69" s="201"/>
      <c r="L69" s="549">
        <v>2</v>
      </c>
      <c r="M69" s="548">
        <v>3</v>
      </c>
      <c r="N69" s="797" t="s">
        <v>6</v>
      </c>
      <c r="O69" s="1531" t="s">
        <v>749</v>
      </c>
      <c r="P69" s="311">
        <f>Test_Bible!P150</f>
        <v>1</v>
      </c>
      <c r="Q69" s="311">
        <f>Test_Bible!Q150</f>
        <v>3</v>
      </c>
      <c r="R69" s="311" t="s">
        <v>2333</v>
      </c>
      <c r="S69" s="315">
        <v>1</v>
      </c>
      <c r="T69" s="339">
        <v>0</v>
      </c>
      <c r="U69" s="340">
        <v>0</v>
      </c>
      <c r="V69" s="657" t="s">
        <v>310</v>
      </c>
      <c r="W69" s="426"/>
      <c r="X69" s="426"/>
      <c r="Y69" s="413"/>
      <c r="Z69" s="427"/>
      <c r="AC69" s="1052">
        <v>1</v>
      </c>
      <c r="AE69" s="1007" t="s">
        <v>67</v>
      </c>
      <c r="AF69" s="1008"/>
      <c r="AG69" s="1008"/>
      <c r="AH69" s="504" t="s">
        <v>25</v>
      </c>
      <c r="AI69" s="1009"/>
      <c r="AJ69" s="1014" t="s">
        <v>574</v>
      </c>
    </row>
    <row r="70" spans="1:98" ht="66" customHeight="1" x14ac:dyDescent="0.2">
      <c r="C70" s="775" t="s">
        <v>790</v>
      </c>
      <c r="D70" s="1619">
        <v>21</v>
      </c>
      <c r="E70" s="781" t="s">
        <v>595</v>
      </c>
      <c r="F70" s="331" t="s">
        <v>1364</v>
      </c>
      <c r="G70" s="508" t="s">
        <v>831</v>
      </c>
      <c r="H70" s="228"/>
      <c r="I70" s="904"/>
      <c r="J70" s="186"/>
      <c r="K70" s="201">
        <v>2</v>
      </c>
      <c r="L70" s="549">
        <v>2</v>
      </c>
      <c r="M70" s="548">
        <v>3</v>
      </c>
      <c r="N70" s="797" t="s">
        <v>6</v>
      </c>
      <c r="O70" s="1531" t="s">
        <v>749</v>
      </c>
      <c r="P70" s="311">
        <f>Test_Bible!P151</f>
        <v>4</v>
      </c>
      <c r="Q70" s="311">
        <f>Test_Bible!Q151</f>
        <v>12</v>
      </c>
      <c r="R70" s="311" t="s">
        <v>2332</v>
      </c>
      <c r="S70" s="315">
        <v>1</v>
      </c>
      <c r="T70" s="339">
        <v>0</v>
      </c>
      <c r="U70" s="340">
        <v>0</v>
      </c>
      <c r="V70" s="657" t="s">
        <v>310</v>
      </c>
      <c r="W70" s="426"/>
      <c r="X70" s="426"/>
      <c r="Y70" s="413"/>
      <c r="Z70" s="427"/>
      <c r="AC70" s="1052">
        <v>1</v>
      </c>
      <c r="AD70" s="138">
        <v>1</v>
      </c>
      <c r="AE70" s="504"/>
      <c r="AF70" s="997"/>
      <c r="AG70" s="997"/>
      <c r="AH70" s="504" t="s">
        <v>25</v>
      </c>
      <c r="AI70" s="1009"/>
      <c r="AJ70" s="1014" t="s">
        <v>574</v>
      </c>
    </row>
    <row r="71" spans="1:98" ht="57" customHeight="1" x14ac:dyDescent="0.2">
      <c r="B71" s="99" t="s">
        <v>704</v>
      </c>
      <c r="D71" s="1619">
        <v>22</v>
      </c>
      <c r="E71" s="783" t="s">
        <v>85</v>
      </c>
      <c r="F71" s="274" t="s">
        <v>1365</v>
      </c>
      <c r="G71" s="485" t="s">
        <v>832</v>
      </c>
      <c r="H71" s="232"/>
      <c r="I71" s="910"/>
      <c r="J71" s="224"/>
      <c r="K71" s="207"/>
      <c r="L71" s="597"/>
      <c r="M71" s="597"/>
      <c r="N71" s="797" t="s">
        <v>46</v>
      </c>
      <c r="O71" s="1531"/>
      <c r="P71" s="311"/>
      <c r="Q71" s="311"/>
      <c r="R71" s="311"/>
      <c r="S71" s="315" t="s">
        <v>34</v>
      </c>
      <c r="T71" s="339" t="s">
        <v>34</v>
      </c>
      <c r="U71" s="342" t="s">
        <v>34</v>
      </c>
      <c r="V71" s="657" t="s">
        <v>310</v>
      </c>
      <c r="W71" s="426"/>
      <c r="X71" s="426"/>
      <c r="Y71" s="413"/>
      <c r="Z71" s="427"/>
      <c r="AC71" s="1052">
        <v>1</v>
      </c>
      <c r="AE71" s="504"/>
      <c r="AF71" s="1012"/>
      <c r="AG71" s="1012"/>
      <c r="AH71" s="1003" t="s">
        <v>25</v>
      </c>
      <c r="AI71" s="1009"/>
      <c r="AJ71" s="1014" t="s">
        <v>574</v>
      </c>
    </row>
    <row r="72" spans="1:98" s="7" customFormat="1" ht="57" customHeight="1" x14ac:dyDescent="0.2">
      <c r="C72" s="2342" t="s">
        <v>2198</v>
      </c>
      <c r="D72" s="1619">
        <v>5</v>
      </c>
      <c r="E72" s="778" t="s">
        <v>86</v>
      </c>
      <c r="F72" s="331" t="s">
        <v>1350</v>
      </c>
      <c r="G72" s="486" t="s">
        <v>833</v>
      </c>
      <c r="H72" s="227"/>
      <c r="I72" s="911"/>
      <c r="J72" s="188"/>
      <c r="K72" s="202">
        <v>4</v>
      </c>
      <c r="L72" s="550">
        <v>1</v>
      </c>
      <c r="M72" s="550">
        <v>0</v>
      </c>
      <c r="N72" s="797" t="s">
        <v>1204</v>
      </c>
      <c r="O72" s="1531" t="s">
        <v>1206</v>
      </c>
      <c r="P72" s="311">
        <f>Test_Bible!P154</f>
        <v>4</v>
      </c>
      <c r="Q72" s="311">
        <f>Test_Bible!Q154</f>
        <v>4</v>
      </c>
      <c r="R72" s="311" t="s">
        <v>2039</v>
      </c>
      <c r="S72" s="316">
        <v>0</v>
      </c>
      <c r="T72" s="317">
        <v>1</v>
      </c>
      <c r="U72" s="318">
        <v>0</v>
      </c>
      <c r="V72" s="657" t="s">
        <v>310</v>
      </c>
      <c r="W72" s="426"/>
      <c r="X72" s="426"/>
      <c r="Y72" s="413"/>
      <c r="Z72" s="427"/>
      <c r="AA72" s="42"/>
      <c r="AB72" s="42"/>
      <c r="AC72" s="1052">
        <v>1</v>
      </c>
      <c r="AD72" s="42"/>
      <c r="AE72" s="994"/>
      <c r="AF72" s="995"/>
      <c r="AG72" s="995"/>
      <c r="AH72" s="994"/>
      <c r="AI72" s="842"/>
      <c r="AJ72" s="1014" t="s">
        <v>574</v>
      </c>
    </row>
    <row r="73" spans="1:98" s="7" customFormat="1" ht="52" customHeight="1" x14ac:dyDescent="0.2">
      <c r="B73" s="99" t="s">
        <v>705</v>
      </c>
      <c r="D73" s="1619">
        <v>6</v>
      </c>
      <c r="E73" s="784" t="s">
        <v>88</v>
      </c>
      <c r="F73" s="274" t="s">
        <v>1351</v>
      </c>
      <c r="G73" s="507" t="s">
        <v>834</v>
      </c>
      <c r="H73" s="350"/>
      <c r="I73" s="912"/>
      <c r="J73" s="351"/>
      <c r="K73" s="352"/>
      <c r="L73" s="549">
        <v>2</v>
      </c>
      <c r="M73" s="549"/>
      <c r="N73" s="797" t="s">
        <v>3</v>
      </c>
      <c r="O73" s="1531" t="s">
        <v>1113</v>
      </c>
      <c r="P73" s="353">
        <f>Test_Bible!P155</f>
        <v>4</v>
      </c>
      <c r="Q73" s="353">
        <f>Test_Bible!Q155</f>
        <v>8</v>
      </c>
      <c r="R73" s="353" t="s">
        <v>1547</v>
      </c>
      <c r="S73" s="354">
        <v>0</v>
      </c>
      <c r="T73" s="355">
        <v>1</v>
      </c>
      <c r="U73" s="356">
        <v>0</v>
      </c>
      <c r="V73" s="658" t="s">
        <v>310</v>
      </c>
      <c r="W73" s="426"/>
      <c r="X73" s="426"/>
      <c r="Y73" s="414"/>
      <c r="Z73" s="427"/>
      <c r="AA73" s="42"/>
      <c r="AB73" s="42"/>
      <c r="AC73" s="1052">
        <v>1</v>
      </c>
      <c r="AD73" s="42"/>
      <c r="AE73" s="504" t="s">
        <v>24</v>
      </c>
      <c r="AF73" s="990"/>
      <c r="AG73" s="990"/>
      <c r="AH73" s="504" t="s">
        <v>25</v>
      </c>
      <c r="AI73" s="842"/>
      <c r="AJ73" s="1015" t="s">
        <v>574</v>
      </c>
    </row>
    <row r="74" spans="1:98" s="7" customFormat="1" ht="76" customHeight="1" x14ac:dyDescent="0.2">
      <c r="A74" s="700" t="s">
        <v>695</v>
      </c>
      <c r="B74" s="1673"/>
      <c r="D74" s="1619">
        <v>24</v>
      </c>
      <c r="E74" s="785" t="s">
        <v>196</v>
      </c>
      <c r="F74" s="331" t="s">
        <v>1367</v>
      </c>
      <c r="G74" s="330" t="s">
        <v>835</v>
      </c>
      <c r="H74" s="532"/>
      <c r="I74" s="532"/>
      <c r="J74" s="533"/>
      <c r="K74" s="533"/>
      <c r="L74" s="1285">
        <v>1</v>
      </c>
      <c r="M74" s="1586"/>
      <c r="N74" s="1639" t="s">
        <v>3</v>
      </c>
      <c r="O74" s="1531" t="s">
        <v>1113</v>
      </c>
      <c r="P74" s="353">
        <f>Test_Bible!P156</f>
        <v>0</v>
      </c>
      <c r="Q74" s="353">
        <f>Test_Bible!Q156</f>
        <v>0</v>
      </c>
      <c r="R74" s="353"/>
      <c r="S74" s="315" t="s">
        <v>34</v>
      </c>
      <c r="T74" s="339" t="s">
        <v>34</v>
      </c>
      <c r="U74" s="342" t="s">
        <v>34</v>
      </c>
      <c r="V74" s="528" t="s">
        <v>1030</v>
      </c>
      <c r="W74" s="8"/>
      <c r="X74" s="8"/>
      <c r="Y74" s="413"/>
      <c r="Z74" s="857"/>
      <c r="AA74" s="42"/>
      <c r="AB74" s="42"/>
      <c r="AC74" s="42"/>
      <c r="AD74" s="42"/>
      <c r="AE74" s="531"/>
      <c r="AF74" s="995"/>
      <c r="AG74" s="995"/>
      <c r="AH74" s="504" t="s">
        <v>25</v>
      </c>
      <c r="AI74" s="842"/>
      <c r="AJ74" s="2481" t="s">
        <v>575</v>
      </c>
    </row>
    <row r="75" spans="1:98" s="7" customFormat="1" ht="35" thickBot="1" x14ac:dyDescent="0.25">
      <c r="A75" s="700" t="s">
        <v>695</v>
      </c>
      <c r="B75" s="1673"/>
      <c r="D75" s="1619">
        <v>25</v>
      </c>
      <c r="E75" s="785" t="s">
        <v>197</v>
      </c>
      <c r="F75" s="331" t="s">
        <v>1368</v>
      </c>
      <c r="G75" s="330" t="s">
        <v>836</v>
      </c>
      <c r="H75" s="532"/>
      <c r="I75" s="532"/>
      <c r="J75" s="533"/>
      <c r="K75" s="533"/>
      <c r="L75" s="1285">
        <v>1</v>
      </c>
      <c r="M75" s="1586"/>
      <c r="N75" s="1640" t="s">
        <v>3</v>
      </c>
      <c r="O75" s="1531" t="s">
        <v>1113</v>
      </c>
      <c r="P75" s="353">
        <f>Test_Bible!P157</f>
        <v>0</v>
      </c>
      <c r="Q75" s="353">
        <f>Test_Bible!Q157</f>
        <v>0</v>
      </c>
      <c r="R75" s="353"/>
      <c r="S75" s="315" t="s">
        <v>34</v>
      </c>
      <c r="T75" s="339" t="s">
        <v>34</v>
      </c>
      <c r="U75" s="342" t="s">
        <v>34</v>
      </c>
      <c r="V75" s="528" t="s">
        <v>1030</v>
      </c>
      <c r="W75" s="8"/>
      <c r="X75" s="8"/>
      <c r="Y75" s="423"/>
      <c r="Z75" s="857"/>
      <c r="AA75" s="42"/>
      <c r="AB75" s="42"/>
      <c r="AC75" s="42"/>
      <c r="AD75" s="42"/>
      <c r="AE75" s="531"/>
      <c r="AF75" s="995"/>
      <c r="AG75" s="995"/>
      <c r="AH75" s="504" t="s">
        <v>25</v>
      </c>
      <c r="AI75" s="842"/>
      <c r="AJ75" s="2481"/>
    </row>
    <row r="76" spans="1:98" s="107" customFormat="1" ht="37" customHeight="1" x14ac:dyDescent="0.2">
      <c r="A76" s="7"/>
      <c r="B76" s="7"/>
      <c r="C76" s="7"/>
      <c r="D76" s="954"/>
      <c r="E76" s="955"/>
      <c r="F76" s="956"/>
      <c r="G76" s="957"/>
      <c r="H76" s="958"/>
      <c r="I76" s="958"/>
      <c r="J76" s="959"/>
      <c r="K76" s="959"/>
      <c r="L76" s="959"/>
      <c r="M76" s="959"/>
      <c r="N76" s="960"/>
      <c r="O76" s="1521"/>
      <c r="P76" s="960"/>
      <c r="Q76" s="961">
        <f>SUM(Q51:Q75)</f>
        <v>96</v>
      </c>
      <c r="R76" s="961"/>
      <c r="S76" s="962" t="s">
        <v>29</v>
      </c>
      <c r="T76" s="963" t="s">
        <v>30</v>
      </c>
      <c r="U76" s="963" t="s">
        <v>31</v>
      </c>
      <c r="V76" s="964"/>
      <c r="W76" s="8"/>
      <c r="X76" s="8"/>
      <c r="Y76" s="423"/>
      <c r="Z76" s="427"/>
      <c r="AA76" s="42"/>
      <c r="AB76" s="42"/>
      <c r="AC76" s="42"/>
      <c r="AD76" s="42"/>
      <c r="AE76" s="1016"/>
      <c r="AF76" s="1017"/>
      <c r="AG76" s="1018"/>
      <c r="AH76" s="1019"/>
      <c r="AI76" s="1020"/>
      <c r="AJ76" s="1021"/>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07" customFormat="1" ht="37" customHeight="1" x14ac:dyDescent="0.2">
      <c r="A77" s="7"/>
      <c r="B77" s="7"/>
      <c r="C77" s="7"/>
      <c r="D77" s="330"/>
      <c r="E77" s="330"/>
      <c r="F77" s="965"/>
      <c r="G77" s="966"/>
      <c r="H77" s="967"/>
      <c r="I77" s="967"/>
      <c r="J77" s="968"/>
      <c r="K77" s="968"/>
      <c r="L77" s="968"/>
      <c r="M77" s="968"/>
      <c r="N77" s="969"/>
      <c r="O77" s="1522"/>
      <c r="P77" s="969"/>
      <c r="Q77" s="970"/>
      <c r="R77" s="970"/>
      <c r="S77" s="971"/>
      <c r="T77" s="972"/>
      <c r="U77" s="972"/>
      <c r="V77" s="332"/>
      <c r="W77" s="8"/>
      <c r="X77" s="8"/>
      <c r="Y77" s="423"/>
      <c r="Z77" s="427"/>
      <c r="AA77" s="42"/>
      <c r="AB77" s="42"/>
      <c r="AC77" s="42"/>
      <c r="AD77" s="42"/>
      <c r="AE77" s="1016"/>
      <c r="AF77" s="1017"/>
      <c r="AG77" s="1018"/>
      <c r="AH77" s="1019"/>
      <c r="AI77" s="1020"/>
      <c r="AJ77" s="1021"/>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x14ac:dyDescent="0.2">
      <c r="D78" s="324"/>
      <c r="E78" s="324"/>
      <c r="F78" s="325"/>
      <c r="G78" s="324"/>
      <c r="H78" s="325"/>
      <c r="I78" s="325"/>
      <c r="J78" s="324"/>
      <c r="K78" s="324"/>
      <c r="L78" s="324"/>
      <c r="M78" s="324"/>
      <c r="N78" s="326"/>
      <c r="O78" s="1519"/>
      <c r="P78" s="326"/>
      <c r="Q78" s="326"/>
      <c r="R78" s="326"/>
      <c r="S78" s="363"/>
      <c r="T78" s="364"/>
      <c r="U78" s="364"/>
      <c r="V78" s="329"/>
      <c r="W78" s="422"/>
      <c r="X78" s="426"/>
      <c r="Y78" s="43"/>
      <c r="Z78" s="858"/>
      <c r="AE78" s="999"/>
      <c r="AF78" s="1000"/>
      <c r="AH78" s="504"/>
      <c r="AJ78" s="504"/>
    </row>
    <row r="79" spans="1:98" ht="47" customHeight="1" x14ac:dyDescent="0.2">
      <c r="D79" s="357" t="s">
        <v>89</v>
      </c>
      <c r="E79" s="536"/>
      <c r="F79" s="536"/>
      <c r="G79" s="536"/>
      <c r="H79" s="536"/>
      <c r="I79" s="536"/>
      <c r="J79" s="536"/>
      <c r="K79" s="536"/>
      <c r="L79" s="536"/>
      <c r="M79" s="536"/>
      <c r="N79" s="536"/>
      <c r="O79" s="536"/>
      <c r="P79" s="536"/>
      <c r="Q79" s="536"/>
      <c r="R79" s="536"/>
      <c r="S79" s="536"/>
      <c r="T79" s="536"/>
      <c r="U79" s="536"/>
      <c r="V79" s="536"/>
      <c r="W79" s="422"/>
      <c r="X79" s="426"/>
      <c r="Y79" s="43"/>
      <c r="Z79" s="858"/>
      <c r="AE79" s="504"/>
      <c r="AH79" s="504"/>
      <c r="AJ79" s="504"/>
    </row>
    <row r="80" spans="1:98" ht="73" customHeight="1" thickBot="1" x14ac:dyDescent="0.25">
      <c r="A80" s="174" t="s">
        <v>1200</v>
      </c>
      <c r="D80" s="357">
        <v>4</v>
      </c>
      <c r="E80" s="117" t="s">
        <v>777</v>
      </c>
      <c r="F80" s="536" t="s">
        <v>1420</v>
      </c>
      <c r="G80" s="536" t="s">
        <v>837</v>
      </c>
      <c r="H80" s="536"/>
      <c r="I80" s="536"/>
      <c r="J80" s="536"/>
      <c r="K80" s="209"/>
      <c r="L80" s="795">
        <v>1</v>
      </c>
      <c r="M80" s="1641"/>
      <c r="N80" s="1642" t="s">
        <v>43</v>
      </c>
      <c r="O80" s="1531" t="s">
        <v>1114</v>
      </c>
      <c r="P80" s="1576">
        <f>Test_Bible!P163</f>
        <v>10</v>
      </c>
      <c r="Q80" s="1576">
        <f>Test_Bible!Q163</f>
        <v>10</v>
      </c>
      <c r="R80" s="322" t="s">
        <v>2031</v>
      </c>
      <c r="S80" s="315">
        <v>1</v>
      </c>
      <c r="T80" s="339">
        <v>0</v>
      </c>
      <c r="U80" s="342">
        <v>0</v>
      </c>
      <c r="V80" s="652" t="s">
        <v>2319</v>
      </c>
      <c r="W80" s="422"/>
      <c r="X80" s="426"/>
      <c r="Y80" s="43">
        <v>1</v>
      </c>
      <c r="Z80" s="858"/>
      <c r="AE80" s="504"/>
      <c r="AH80" s="504"/>
      <c r="AJ80" s="504"/>
    </row>
    <row r="81" spans="1:36" s="7" customFormat="1" ht="52" customHeight="1" x14ac:dyDescent="0.2">
      <c r="D81" s="357">
        <v>7</v>
      </c>
      <c r="E81" s="117" t="s">
        <v>90</v>
      </c>
      <c r="F81" s="536" t="s">
        <v>1421</v>
      </c>
      <c r="G81" s="536" t="s">
        <v>838</v>
      </c>
      <c r="H81" s="358"/>
      <c r="I81" s="913"/>
      <c r="J81" s="359" t="s">
        <v>1305</v>
      </c>
      <c r="K81" s="360"/>
      <c r="L81" s="570">
        <v>1</v>
      </c>
      <c r="M81" s="1641"/>
      <c r="N81" s="1643" t="s">
        <v>54</v>
      </c>
      <c r="O81" s="787" t="s">
        <v>1157</v>
      </c>
      <c r="P81" s="361">
        <f>Test_Bible!P165</f>
        <v>7</v>
      </c>
      <c r="Q81" s="361">
        <f>Test_Bible!Q165</f>
        <v>7</v>
      </c>
      <c r="R81" s="1719"/>
      <c r="S81" s="315" t="s">
        <v>34</v>
      </c>
      <c r="T81" s="339" t="s">
        <v>34</v>
      </c>
      <c r="U81" s="342" t="s">
        <v>34</v>
      </c>
      <c r="V81" s="689" t="s">
        <v>55</v>
      </c>
      <c r="W81" s="8"/>
      <c r="X81" s="426"/>
      <c r="Y81" s="8"/>
      <c r="Z81" s="427"/>
      <c r="AA81" s="42"/>
      <c r="AB81" s="42"/>
      <c r="AC81" s="42"/>
      <c r="AD81" s="42"/>
      <c r="AE81" s="994"/>
      <c r="AF81" s="995"/>
      <c r="AG81" s="995"/>
      <c r="AH81" s="994"/>
      <c r="AI81" s="842"/>
      <c r="AJ81" s="844"/>
    </row>
    <row r="82" spans="1:36" ht="51" customHeight="1" x14ac:dyDescent="0.2">
      <c r="D82" s="357">
        <v>8</v>
      </c>
      <c r="E82" s="117" t="s">
        <v>91</v>
      </c>
      <c r="F82" s="536" t="s">
        <v>1422</v>
      </c>
      <c r="G82" s="536" t="s">
        <v>839</v>
      </c>
      <c r="H82" s="234"/>
      <c r="I82" s="914"/>
      <c r="J82" s="359" t="s">
        <v>1305</v>
      </c>
      <c r="K82" s="200">
        <v>6</v>
      </c>
      <c r="L82" s="571">
        <v>1</v>
      </c>
      <c r="M82" s="1644"/>
      <c r="N82" s="1645" t="s">
        <v>54</v>
      </c>
      <c r="O82" s="787" t="s">
        <v>1157</v>
      </c>
      <c r="P82" s="306">
        <f>Test_Bible!P166</f>
        <v>7</v>
      </c>
      <c r="Q82" s="306">
        <f>Test_Bible!Q166</f>
        <v>7</v>
      </c>
      <c r="R82" s="305"/>
      <c r="S82" s="315" t="s">
        <v>34</v>
      </c>
      <c r="T82" s="339" t="s">
        <v>34</v>
      </c>
      <c r="U82" s="342" t="s">
        <v>34</v>
      </c>
      <c r="V82" s="661" t="s">
        <v>55</v>
      </c>
      <c r="W82" s="8"/>
      <c r="X82" s="426"/>
      <c r="Z82" s="428"/>
      <c r="AE82" s="504" t="s">
        <v>24</v>
      </c>
      <c r="AF82" s="997" t="s">
        <v>505</v>
      </c>
      <c r="AG82" s="997"/>
      <c r="AH82" s="504" t="s">
        <v>25</v>
      </c>
      <c r="AI82" s="842"/>
      <c r="AJ82" s="843" t="s">
        <v>576</v>
      </c>
    </row>
    <row r="83" spans="1:36" ht="54" customHeight="1" x14ac:dyDescent="0.2">
      <c r="B83" s="99" t="s">
        <v>706</v>
      </c>
      <c r="D83" s="357">
        <v>9</v>
      </c>
      <c r="E83" s="118" t="s">
        <v>92</v>
      </c>
      <c r="F83" s="274" t="s">
        <v>462</v>
      </c>
      <c r="G83" s="274" t="s">
        <v>840</v>
      </c>
      <c r="H83" s="229"/>
      <c r="I83" s="915"/>
      <c r="J83" s="99"/>
      <c r="K83" s="199"/>
      <c r="L83" s="571">
        <v>1</v>
      </c>
      <c r="M83" s="1644"/>
      <c r="N83" s="1646" t="s">
        <v>19</v>
      </c>
      <c r="O83" s="1516"/>
      <c r="P83" s="299"/>
      <c r="Q83" s="299"/>
      <c r="R83" s="299"/>
      <c r="S83" s="315" t="s">
        <v>34</v>
      </c>
      <c r="T83" s="339" t="s">
        <v>34</v>
      </c>
      <c r="U83" s="342" t="s">
        <v>34</v>
      </c>
      <c r="V83" s="661" t="s">
        <v>55</v>
      </c>
      <c r="W83" s="8"/>
      <c r="X83" s="426"/>
      <c r="Z83" s="428"/>
      <c r="AE83" s="504"/>
      <c r="AF83" s="997"/>
      <c r="AG83" s="997"/>
      <c r="AH83" s="504" t="s">
        <v>25</v>
      </c>
      <c r="AI83" s="263"/>
      <c r="AJ83" s="466" t="s">
        <v>577</v>
      </c>
    </row>
    <row r="84" spans="1:36" s="7" customFormat="1" ht="65" customHeight="1" x14ac:dyDescent="0.2">
      <c r="C84" s="775" t="s">
        <v>791</v>
      </c>
      <c r="D84" s="357">
        <v>52</v>
      </c>
      <c r="E84" s="181" t="s">
        <v>94</v>
      </c>
      <c r="F84" s="536" t="s">
        <v>1423</v>
      </c>
      <c r="G84" s="536" t="s">
        <v>841</v>
      </c>
      <c r="H84" s="234"/>
      <c r="I84" s="914"/>
      <c r="J84" s="190"/>
      <c r="K84" s="209"/>
      <c r="L84" s="572">
        <v>2</v>
      </c>
      <c r="M84" s="1647">
        <v>3</v>
      </c>
      <c r="N84" s="797" t="s">
        <v>3</v>
      </c>
      <c r="O84" s="272" t="s">
        <v>1113</v>
      </c>
      <c r="P84" s="307">
        <f>Test_Bible!P170</f>
        <v>7</v>
      </c>
      <c r="Q84" s="307">
        <f>Test_Bible!Q170</f>
        <v>21</v>
      </c>
      <c r="R84" s="307" t="s">
        <v>2290</v>
      </c>
      <c r="S84" s="316">
        <v>0</v>
      </c>
      <c r="T84" s="317">
        <v>0</v>
      </c>
      <c r="U84" s="318">
        <v>1</v>
      </c>
      <c r="V84" s="695" t="s">
        <v>2321</v>
      </c>
      <c r="W84" s="6"/>
      <c r="X84" s="426"/>
      <c r="Y84" s="414"/>
      <c r="Z84" s="427"/>
      <c r="AA84" s="42"/>
      <c r="AB84" s="42"/>
      <c r="AC84" s="42"/>
      <c r="AD84" s="42">
        <v>1</v>
      </c>
      <c r="AE84" s="504" t="s">
        <v>24</v>
      </c>
      <c r="AF84" s="997" t="s">
        <v>564</v>
      </c>
      <c r="AG84" s="997"/>
      <c r="AH84" s="504" t="s">
        <v>25</v>
      </c>
      <c r="AI84" s="842"/>
      <c r="AJ84" s="843" t="s">
        <v>542</v>
      </c>
    </row>
    <row r="85" spans="1:36" s="7" customFormat="1" ht="68" customHeight="1" x14ac:dyDescent="0.2">
      <c r="D85" s="357">
        <v>56</v>
      </c>
      <c r="E85" s="181" t="s">
        <v>95</v>
      </c>
      <c r="F85" s="536" t="s">
        <v>1424</v>
      </c>
      <c r="G85" s="536" t="s">
        <v>842</v>
      </c>
      <c r="H85" s="234"/>
      <c r="I85" s="914"/>
      <c r="J85" s="190"/>
      <c r="K85" s="209">
        <v>4</v>
      </c>
      <c r="L85" s="573">
        <v>1</v>
      </c>
      <c r="M85" s="1648"/>
      <c r="N85" s="797" t="s">
        <v>7</v>
      </c>
      <c r="O85" s="272" t="s">
        <v>1221</v>
      </c>
      <c r="P85" s="307">
        <f>Test_Bible!P171</f>
        <v>7</v>
      </c>
      <c r="Q85" s="307">
        <f>Test_Bible!Q171</f>
        <v>7</v>
      </c>
      <c r="R85" s="307" t="s">
        <v>2351</v>
      </c>
      <c r="S85" s="316">
        <v>0</v>
      </c>
      <c r="T85" s="317">
        <v>1</v>
      </c>
      <c r="U85" s="318">
        <v>0</v>
      </c>
      <c r="V85" s="690" t="s">
        <v>2318</v>
      </c>
      <c r="W85" s="8"/>
      <c r="X85" s="1053">
        <v>1</v>
      </c>
      <c r="Y85" s="44"/>
      <c r="Z85" s="427"/>
      <c r="AA85" s="42"/>
      <c r="AB85" s="42"/>
      <c r="AC85" s="42"/>
      <c r="AD85" s="42"/>
      <c r="AE85" s="504"/>
      <c r="AF85" s="997"/>
      <c r="AG85" s="997"/>
      <c r="AH85" s="504" t="s">
        <v>25</v>
      </c>
      <c r="AI85" s="842"/>
      <c r="AJ85" s="997" t="s">
        <v>506</v>
      </c>
    </row>
    <row r="86" spans="1:36" s="7" customFormat="1" ht="68" customHeight="1" x14ac:dyDescent="0.2">
      <c r="B86" s="99" t="s">
        <v>707</v>
      </c>
      <c r="D86" s="357">
        <v>57</v>
      </c>
      <c r="E86" s="118" t="s">
        <v>424</v>
      </c>
      <c r="F86" s="274" t="s">
        <v>1425</v>
      </c>
      <c r="G86" s="274" t="s">
        <v>843</v>
      </c>
      <c r="H86" s="229"/>
      <c r="I86" s="229"/>
      <c r="J86" s="229"/>
      <c r="K86" s="229"/>
      <c r="L86" s="572">
        <v>2</v>
      </c>
      <c r="M86" s="1649"/>
      <c r="N86" s="797" t="s">
        <v>7</v>
      </c>
      <c r="O86" s="272" t="s">
        <v>1221</v>
      </c>
      <c r="P86" s="307">
        <f>Test_Bible!P173</f>
        <v>7</v>
      </c>
      <c r="Q86" s="307">
        <f>Test_Bible!Q173</f>
        <v>14</v>
      </c>
      <c r="R86" s="307" t="s">
        <v>2289</v>
      </c>
      <c r="S86" s="316">
        <v>0</v>
      </c>
      <c r="T86" s="317">
        <v>1</v>
      </c>
      <c r="U86" s="318">
        <v>0</v>
      </c>
      <c r="V86" s="690" t="s">
        <v>2318</v>
      </c>
      <c r="W86" s="8"/>
      <c r="X86" s="1053">
        <v>1</v>
      </c>
      <c r="Y86" s="44"/>
      <c r="Z86" s="427"/>
      <c r="AA86" s="42"/>
      <c r="AB86" s="42"/>
      <c r="AC86" s="42"/>
      <c r="AD86" s="42"/>
      <c r="AE86" s="504"/>
      <c r="AF86" s="997"/>
      <c r="AG86" s="997"/>
      <c r="AH86" s="504" t="s">
        <v>25</v>
      </c>
      <c r="AI86" s="842"/>
      <c r="AJ86" s="997" t="s">
        <v>506</v>
      </c>
    </row>
    <row r="87" spans="1:36" s="7" customFormat="1" ht="71" customHeight="1" x14ac:dyDescent="0.2">
      <c r="D87" s="357">
        <v>58</v>
      </c>
      <c r="E87" s="181" t="s">
        <v>97</v>
      </c>
      <c r="F87" s="536" t="s">
        <v>1426</v>
      </c>
      <c r="G87" s="536" t="s">
        <v>844</v>
      </c>
      <c r="H87" s="234"/>
      <c r="I87" s="914"/>
      <c r="J87" s="190"/>
      <c r="K87" s="209">
        <v>4</v>
      </c>
      <c r="L87" s="572">
        <v>2</v>
      </c>
      <c r="M87" s="1649"/>
      <c r="N87" s="797" t="s">
        <v>7</v>
      </c>
      <c r="O87" s="272" t="s">
        <v>1221</v>
      </c>
      <c r="P87" s="307">
        <f>Test_Bible!P173</f>
        <v>7</v>
      </c>
      <c r="Q87" s="307">
        <f>Test_Bible!Q173</f>
        <v>14</v>
      </c>
      <c r="R87" s="307" t="s">
        <v>2334</v>
      </c>
      <c r="S87" s="316">
        <v>0</v>
      </c>
      <c r="T87" s="317">
        <v>1</v>
      </c>
      <c r="U87" s="318">
        <v>0</v>
      </c>
      <c r="V87" s="690" t="s">
        <v>2318</v>
      </c>
      <c r="W87" s="8"/>
      <c r="X87" s="1053">
        <v>1</v>
      </c>
      <c r="Y87" s="44"/>
      <c r="Z87" s="427"/>
      <c r="AA87" s="42"/>
      <c r="AB87" s="42"/>
      <c r="AC87" s="42"/>
      <c r="AD87" s="42"/>
      <c r="AE87" s="504"/>
      <c r="AF87" s="997"/>
      <c r="AG87" s="997"/>
      <c r="AH87" s="504" t="s">
        <v>25</v>
      </c>
      <c r="AI87" s="263"/>
      <c r="AJ87" s="1022" t="s">
        <v>544</v>
      </c>
    </row>
    <row r="88" spans="1:36" s="7" customFormat="1" ht="75" customHeight="1" x14ac:dyDescent="0.2">
      <c r="B88" s="99" t="s">
        <v>708</v>
      </c>
      <c r="D88" s="357">
        <v>59</v>
      </c>
      <c r="E88" s="120" t="s">
        <v>98</v>
      </c>
      <c r="F88" s="274" t="s">
        <v>1427</v>
      </c>
      <c r="G88" s="274" t="s">
        <v>845</v>
      </c>
      <c r="H88" s="229"/>
      <c r="I88" s="915"/>
      <c r="J88" s="189" t="s">
        <v>50</v>
      </c>
      <c r="K88" s="208"/>
      <c r="L88" s="572">
        <v>2</v>
      </c>
      <c r="M88" s="1649"/>
      <c r="N88" s="797" t="s">
        <v>7</v>
      </c>
      <c r="O88" s="272" t="s">
        <v>1221</v>
      </c>
      <c r="P88" s="307">
        <f>Test_Bible!P174</f>
        <v>10</v>
      </c>
      <c r="Q88" s="307">
        <f>Test_Bible!Q174</f>
        <v>20</v>
      </c>
      <c r="R88" s="307" t="s">
        <v>2296</v>
      </c>
      <c r="S88" s="316">
        <v>0</v>
      </c>
      <c r="T88" s="317">
        <v>1</v>
      </c>
      <c r="U88" s="318">
        <v>0</v>
      </c>
      <c r="V88" s="690" t="s">
        <v>2318</v>
      </c>
      <c r="W88" s="8"/>
      <c r="X88" s="1053">
        <v>1</v>
      </c>
      <c r="Y88" s="44"/>
      <c r="Z88" s="427"/>
      <c r="AA88" s="42"/>
      <c r="AB88" s="42"/>
      <c r="AC88" s="42"/>
      <c r="AD88" s="42"/>
      <c r="AE88" s="504"/>
      <c r="AF88" s="997"/>
      <c r="AG88" s="995"/>
      <c r="AH88" s="504" t="s">
        <v>25</v>
      </c>
      <c r="AI88" s="842"/>
      <c r="AJ88" s="1023" t="s">
        <v>546</v>
      </c>
    </row>
    <row r="89" spans="1:36" s="7" customFormat="1" ht="61" customHeight="1" x14ac:dyDescent="0.2">
      <c r="D89" s="357">
        <v>60</v>
      </c>
      <c r="E89" s="181" t="s">
        <v>99</v>
      </c>
      <c r="F89" s="536" t="s">
        <v>1428</v>
      </c>
      <c r="G89" s="536" t="s">
        <v>846</v>
      </c>
      <c r="H89" s="234"/>
      <c r="I89" s="914"/>
      <c r="J89" s="191"/>
      <c r="K89" s="210">
        <v>4</v>
      </c>
      <c r="L89" s="574">
        <v>2</v>
      </c>
      <c r="M89" s="1650"/>
      <c r="N89" s="797" t="s">
        <v>7</v>
      </c>
      <c r="O89" s="272" t="s">
        <v>1221</v>
      </c>
      <c r="P89" s="307">
        <f>Test_Bible!P175</f>
        <v>7</v>
      </c>
      <c r="Q89" s="307">
        <f>Test_Bible!Q175</f>
        <v>14</v>
      </c>
      <c r="R89" s="307" t="s">
        <v>2360</v>
      </c>
      <c r="S89" s="316">
        <v>0</v>
      </c>
      <c r="T89" s="317">
        <v>0.5</v>
      </c>
      <c r="U89" s="318">
        <v>0.5</v>
      </c>
      <c r="V89" s="690" t="s">
        <v>2318</v>
      </c>
      <c r="W89" s="8"/>
      <c r="X89" s="1053">
        <v>1</v>
      </c>
      <c r="Y89" s="44"/>
      <c r="Z89" s="427"/>
      <c r="AA89" s="42"/>
      <c r="AB89" s="42"/>
      <c r="AC89" s="42"/>
      <c r="AD89" s="42"/>
      <c r="AE89" s="504"/>
      <c r="AF89" s="997"/>
      <c r="AG89" s="997"/>
      <c r="AH89" s="845" t="s">
        <v>507</v>
      </c>
      <c r="AI89" s="263"/>
      <c r="AJ89" s="997" t="s">
        <v>508</v>
      </c>
    </row>
    <row r="90" spans="1:36" s="7" customFormat="1" ht="68" customHeight="1" x14ac:dyDescent="0.2">
      <c r="B90" s="99" t="s">
        <v>709</v>
      </c>
      <c r="D90" s="357">
        <v>61</v>
      </c>
      <c r="E90" s="120" t="s">
        <v>100</v>
      </c>
      <c r="F90" s="274" t="s">
        <v>1429</v>
      </c>
      <c r="G90" s="274" t="s">
        <v>847</v>
      </c>
      <c r="H90" s="229"/>
      <c r="I90" s="915"/>
      <c r="J90" s="189" t="s">
        <v>50</v>
      </c>
      <c r="K90" s="208"/>
      <c r="L90" s="575">
        <v>3</v>
      </c>
      <c r="M90" s="565"/>
      <c r="N90" s="797" t="s">
        <v>7</v>
      </c>
      <c r="O90" s="1531" t="s">
        <v>1221</v>
      </c>
      <c r="P90" s="307">
        <f>Test_Bible!P176</f>
        <v>7</v>
      </c>
      <c r="Q90" s="307">
        <f>Test_Bible!Q176</f>
        <v>21</v>
      </c>
      <c r="R90" s="307" t="s">
        <v>2295</v>
      </c>
      <c r="S90" s="316">
        <v>0</v>
      </c>
      <c r="T90" s="317">
        <v>1</v>
      </c>
      <c r="U90" s="318">
        <v>0</v>
      </c>
      <c r="V90" s="690" t="s">
        <v>2318</v>
      </c>
      <c r="W90" s="8"/>
      <c r="X90" s="1053">
        <v>1</v>
      </c>
      <c r="Y90" s="414"/>
      <c r="Z90" s="427"/>
      <c r="AA90" s="42"/>
      <c r="AB90" s="42"/>
      <c r="AC90" s="42"/>
      <c r="AD90" s="42"/>
      <c r="AE90" s="994"/>
      <c r="AF90" s="995"/>
      <c r="AG90" s="995"/>
      <c r="AH90" s="994"/>
      <c r="AI90" s="842"/>
      <c r="AJ90" s="844"/>
    </row>
    <row r="91" spans="1:36" ht="87" customHeight="1" x14ac:dyDescent="0.2">
      <c r="D91" s="357">
        <v>34</v>
      </c>
      <c r="E91" s="181" t="s">
        <v>101</v>
      </c>
      <c r="F91" s="536" t="s">
        <v>1430</v>
      </c>
      <c r="G91" s="536" t="s">
        <v>848</v>
      </c>
      <c r="H91" s="234"/>
      <c r="I91" s="914"/>
      <c r="J91" s="151"/>
      <c r="K91" s="211">
        <v>2</v>
      </c>
      <c r="L91" s="576">
        <v>1</v>
      </c>
      <c r="M91" s="541"/>
      <c r="N91" s="797" t="s">
        <v>7</v>
      </c>
      <c r="O91" s="1531" t="s">
        <v>1221</v>
      </c>
      <c r="P91" s="307">
        <f>Test_Bible!P177</f>
        <v>7</v>
      </c>
      <c r="Q91" s="307">
        <f>Test_Bible!Q177</f>
        <v>7</v>
      </c>
      <c r="R91" s="307" t="s">
        <v>2294</v>
      </c>
      <c r="S91" s="316">
        <v>0.5</v>
      </c>
      <c r="T91" s="317">
        <v>0.5</v>
      </c>
      <c r="U91" s="318">
        <v>0</v>
      </c>
      <c r="V91" s="652" t="s">
        <v>2319</v>
      </c>
      <c r="W91" s="8"/>
      <c r="X91" s="426"/>
      <c r="Y91" s="1054">
        <v>1</v>
      </c>
      <c r="Z91" s="428"/>
      <c r="AE91" s="504"/>
      <c r="AF91" s="997"/>
      <c r="AG91" s="997"/>
      <c r="AH91" s="504" t="s">
        <v>25</v>
      </c>
      <c r="AI91" s="997"/>
      <c r="AJ91" s="997" t="s">
        <v>510</v>
      </c>
    </row>
    <row r="92" spans="1:36" s="7" customFormat="1" ht="58" customHeight="1" x14ac:dyDescent="0.2">
      <c r="B92" s="99" t="s">
        <v>710</v>
      </c>
      <c r="D92" s="357">
        <v>35</v>
      </c>
      <c r="E92" s="120" t="s">
        <v>425</v>
      </c>
      <c r="F92" s="274" t="s">
        <v>1431</v>
      </c>
      <c r="G92" s="274" t="s">
        <v>849</v>
      </c>
      <c r="H92" s="229"/>
      <c r="I92" s="915"/>
      <c r="J92" s="189" t="s">
        <v>50</v>
      </c>
      <c r="K92" s="208">
        <v>2</v>
      </c>
      <c r="L92" s="572">
        <v>2</v>
      </c>
      <c r="M92" s="564"/>
      <c r="N92" s="797" t="s">
        <v>7</v>
      </c>
      <c r="O92" s="1531" t="s">
        <v>1202</v>
      </c>
      <c r="P92" s="307">
        <f>Test_Bible!P178</f>
        <v>2</v>
      </c>
      <c r="Q92" s="307">
        <f>Test_Bible!Q178</f>
        <v>4</v>
      </c>
      <c r="R92" s="307" t="s">
        <v>2048</v>
      </c>
      <c r="S92" s="316">
        <v>1</v>
      </c>
      <c r="T92" s="317">
        <v>0</v>
      </c>
      <c r="U92" s="318">
        <v>0</v>
      </c>
      <c r="V92" s="652" t="s">
        <v>2319</v>
      </c>
      <c r="W92" s="8"/>
      <c r="X92" s="426"/>
      <c r="Y92" s="1054">
        <v>1</v>
      </c>
      <c r="Z92" s="427"/>
      <c r="AA92" s="42"/>
      <c r="AB92" s="42"/>
      <c r="AC92" s="42"/>
      <c r="AD92" s="42"/>
      <c r="AE92" s="504"/>
      <c r="AF92" s="997"/>
      <c r="AG92" s="997"/>
      <c r="AH92" s="504" t="s">
        <v>25</v>
      </c>
      <c r="AI92" s="997"/>
      <c r="AJ92" s="997" t="s">
        <v>510</v>
      </c>
    </row>
    <row r="93" spans="1:36" s="7" customFormat="1" ht="63" customHeight="1" x14ac:dyDescent="0.2">
      <c r="B93" s="99" t="s">
        <v>711</v>
      </c>
      <c r="D93" s="357">
        <v>36</v>
      </c>
      <c r="E93" s="120" t="s">
        <v>432</v>
      </c>
      <c r="F93" s="274" t="s">
        <v>1432</v>
      </c>
      <c r="G93" s="274" t="s">
        <v>850</v>
      </c>
      <c r="H93" s="229"/>
      <c r="I93" s="915"/>
      <c r="J93" s="189" t="s">
        <v>48</v>
      </c>
      <c r="K93" s="208"/>
      <c r="L93" s="575">
        <v>3</v>
      </c>
      <c r="M93" s="565"/>
      <c r="N93" s="797" t="s">
        <v>7</v>
      </c>
      <c r="O93" s="1531" t="s">
        <v>1202</v>
      </c>
      <c r="P93" s="307">
        <f>Test_Bible!P179</f>
        <v>2</v>
      </c>
      <c r="Q93" s="307">
        <f>Test_Bible!Q179</f>
        <v>6</v>
      </c>
      <c r="R93" s="307" t="s">
        <v>2291</v>
      </c>
      <c r="S93" s="316">
        <v>0.5</v>
      </c>
      <c r="T93" s="317">
        <v>0.5</v>
      </c>
      <c r="U93" s="318">
        <v>0</v>
      </c>
      <c r="V93" s="652" t="s">
        <v>2319</v>
      </c>
      <c r="W93" s="8"/>
      <c r="X93" s="426"/>
      <c r="Y93" s="1054">
        <v>1</v>
      </c>
      <c r="Z93" s="427"/>
      <c r="AA93" s="42"/>
      <c r="AB93" s="42"/>
      <c r="AC93" s="42"/>
      <c r="AD93" s="42"/>
      <c r="AE93" s="504"/>
      <c r="AF93" s="997"/>
      <c r="AG93" s="997"/>
      <c r="AH93" s="504" t="s">
        <v>25</v>
      </c>
      <c r="AI93" s="997"/>
      <c r="AJ93" s="997" t="s">
        <v>510</v>
      </c>
    </row>
    <row r="94" spans="1:36" s="7" customFormat="1" ht="60" customHeight="1" x14ac:dyDescent="0.2">
      <c r="D94" s="357">
        <v>27</v>
      </c>
      <c r="E94" s="181" t="s">
        <v>102</v>
      </c>
      <c r="F94" s="536" t="s">
        <v>1433</v>
      </c>
      <c r="G94" s="536" t="s">
        <v>851</v>
      </c>
      <c r="H94" s="234"/>
      <c r="I94" s="914"/>
      <c r="J94" s="190"/>
      <c r="K94" s="209">
        <v>4</v>
      </c>
      <c r="L94" s="573">
        <v>1</v>
      </c>
      <c r="M94" s="550"/>
      <c r="N94" s="797" t="s">
        <v>3</v>
      </c>
      <c r="O94" s="1531" t="s">
        <v>1113</v>
      </c>
      <c r="P94" s="307">
        <f>Test_Bible!P180</f>
        <v>7</v>
      </c>
      <c r="Q94" s="307">
        <f>Test_Bible!Q180</f>
        <v>7</v>
      </c>
      <c r="R94" s="307" t="s">
        <v>2293</v>
      </c>
      <c r="S94" s="316">
        <v>0</v>
      </c>
      <c r="T94" s="317">
        <v>0</v>
      </c>
      <c r="U94" s="318">
        <v>1</v>
      </c>
      <c r="V94" s="652" t="s">
        <v>2319</v>
      </c>
      <c r="W94" s="8"/>
      <c r="X94" s="426"/>
      <c r="Y94" s="1054">
        <v>1</v>
      </c>
      <c r="Z94" s="427"/>
      <c r="AA94" s="42"/>
      <c r="AB94" s="42"/>
      <c r="AC94" s="42"/>
      <c r="AD94" s="42"/>
      <c r="AE94" s="994"/>
      <c r="AF94" s="995"/>
      <c r="AG94" s="995"/>
      <c r="AH94" s="504" t="s">
        <v>25</v>
      </c>
      <c r="AI94" s="263"/>
      <c r="AJ94" s="263" t="s">
        <v>578</v>
      </c>
    </row>
    <row r="95" spans="1:36" s="7" customFormat="1" ht="78" customHeight="1" x14ac:dyDescent="0.2">
      <c r="B95" s="99" t="s">
        <v>712</v>
      </c>
      <c r="C95" s="775" t="s">
        <v>1273</v>
      </c>
      <c r="D95" s="357">
        <v>28</v>
      </c>
      <c r="E95" s="120" t="s">
        <v>103</v>
      </c>
      <c r="F95" s="535" t="s">
        <v>1235</v>
      </c>
      <c r="G95" s="535" t="s">
        <v>852</v>
      </c>
      <c r="H95" s="235"/>
      <c r="I95" s="916"/>
      <c r="J95" s="189" t="s">
        <v>50</v>
      </c>
      <c r="K95" s="208"/>
      <c r="L95" s="577">
        <v>2</v>
      </c>
      <c r="M95" s="548">
        <v>3</v>
      </c>
      <c r="N95" s="797" t="s">
        <v>3</v>
      </c>
      <c r="O95" s="1531" t="s">
        <v>1113</v>
      </c>
      <c r="P95" s="307">
        <f>Test_Bible!P181</f>
        <v>4</v>
      </c>
      <c r="Q95" s="307">
        <f>Test_Bible!Q181</f>
        <v>8</v>
      </c>
      <c r="R95" s="307" t="s">
        <v>2292</v>
      </c>
      <c r="S95" s="316">
        <v>1</v>
      </c>
      <c r="T95" s="317">
        <v>0</v>
      </c>
      <c r="U95" s="318">
        <v>0</v>
      </c>
      <c r="V95" s="691" t="s">
        <v>104</v>
      </c>
      <c r="W95" s="8"/>
      <c r="X95" s="426"/>
      <c r="Y95" s="1054">
        <v>1</v>
      </c>
      <c r="Z95" s="427"/>
      <c r="AA95" s="42"/>
      <c r="AB95" s="42"/>
      <c r="AC95" s="42"/>
      <c r="AD95" s="42"/>
      <c r="AE95" s="994"/>
      <c r="AF95" s="995"/>
      <c r="AG95" s="995"/>
      <c r="AH95" s="994"/>
      <c r="AI95" s="842"/>
      <c r="AJ95" s="844"/>
    </row>
    <row r="96" spans="1:36" s="7" customFormat="1" ht="52" customHeight="1" x14ac:dyDescent="0.2">
      <c r="A96" s="285"/>
      <c r="B96" s="285"/>
      <c r="D96" s="357">
        <v>12</v>
      </c>
      <c r="E96" s="181" t="s">
        <v>105</v>
      </c>
      <c r="F96" s="536" t="s">
        <v>1222</v>
      </c>
      <c r="G96" s="536" t="s">
        <v>853</v>
      </c>
      <c r="H96" s="236"/>
      <c r="I96" s="917"/>
      <c r="J96" s="190"/>
      <c r="K96" s="209"/>
      <c r="L96" s="573">
        <v>1</v>
      </c>
      <c r="M96" s="550"/>
      <c r="N96" s="797" t="s">
        <v>43</v>
      </c>
      <c r="O96" s="1531" t="s">
        <v>1114</v>
      </c>
      <c r="P96" s="307">
        <f>Test_Bible!P182</f>
        <v>4</v>
      </c>
      <c r="Q96" s="307">
        <f>Test_Bible!Q182</f>
        <v>4</v>
      </c>
      <c r="R96" s="311" t="s">
        <v>2324</v>
      </c>
      <c r="S96" s="316">
        <v>1</v>
      </c>
      <c r="T96" s="317">
        <v>0</v>
      </c>
      <c r="U96" s="318">
        <v>0</v>
      </c>
      <c r="V96" s="652" t="s">
        <v>2319</v>
      </c>
      <c r="W96" s="8"/>
      <c r="X96" s="426"/>
      <c r="Y96" s="1054">
        <v>1</v>
      </c>
      <c r="Z96" s="427"/>
      <c r="AA96" s="42"/>
      <c r="AB96" s="42"/>
      <c r="AC96" s="42"/>
      <c r="AD96" s="42"/>
      <c r="AE96" s="994"/>
      <c r="AF96" s="995"/>
      <c r="AG96" s="995"/>
      <c r="AH96" s="994"/>
      <c r="AI96" s="842"/>
      <c r="AJ96" s="844"/>
    </row>
    <row r="97" spans="1:36" s="7" customFormat="1" ht="91" customHeight="1" x14ac:dyDescent="0.2">
      <c r="C97" s="775" t="s">
        <v>792</v>
      </c>
      <c r="D97" s="357">
        <v>43</v>
      </c>
      <c r="E97" s="181" t="s">
        <v>106</v>
      </c>
      <c r="F97" s="536" t="s">
        <v>1223</v>
      </c>
      <c r="G97" s="536" t="s">
        <v>854</v>
      </c>
      <c r="H97" s="234"/>
      <c r="I97" s="914"/>
      <c r="J97" s="190" t="s">
        <v>87</v>
      </c>
      <c r="K97" s="209">
        <v>4</v>
      </c>
      <c r="L97" s="549">
        <v>2</v>
      </c>
      <c r="M97" s="548">
        <v>3</v>
      </c>
      <c r="N97" s="797" t="s">
        <v>7</v>
      </c>
      <c r="O97" s="1531" t="s">
        <v>1202</v>
      </c>
      <c r="P97" s="308">
        <f>Test_Bible!P198</f>
        <v>7</v>
      </c>
      <c r="Q97" s="308">
        <f>Test_Bible!Q198</f>
        <v>7</v>
      </c>
      <c r="R97" s="311" t="s">
        <v>2335</v>
      </c>
      <c r="S97" s="316">
        <v>0</v>
      </c>
      <c r="T97" s="317">
        <v>0.5</v>
      </c>
      <c r="U97" s="318">
        <v>0.5</v>
      </c>
      <c r="V97" s="695" t="s">
        <v>2321</v>
      </c>
      <c r="W97" s="8"/>
      <c r="X97" s="426"/>
      <c r="Y97" s="44"/>
      <c r="Z97" s="427"/>
      <c r="AA97" s="42"/>
      <c r="AB97" s="42"/>
      <c r="AC97" s="42"/>
      <c r="AD97" s="1055">
        <v>1</v>
      </c>
      <c r="AE97" s="994"/>
      <c r="AF97" s="995"/>
      <c r="AG97" s="995"/>
      <c r="AH97" s="994"/>
      <c r="AI97" s="842"/>
      <c r="AJ97" s="844"/>
    </row>
    <row r="98" spans="1:36" s="7" customFormat="1" ht="73" customHeight="1" x14ac:dyDescent="0.2">
      <c r="B98" s="99" t="s">
        <v>713</v>
      </c>
      <c r="C98" s="775" t="s">
        <v>792</v>
      </c>
      <c r="D98" s="357">
        <v>44</v>
      </c>
      <c r="E98" s="120" t="s">
        <v>678</v>
      </c>
      <c r="F98" s="274" t="s">
        <v>1274</v>
      </c>
      <c r="G98" s="274" t="s">
        <v>855</v>
      </c>
      <c r="H98" s="229"/>
      <c r="I98" s="915"/>
      <c r="J98" s="189" t="s">
        <v>50</v>
      </c>
      <c r="K98" s="208"/>
      <c r="L98" s="549">
        <v>2</v>
      </c>
      <c r="M98" s="548">
        <v>3</v>
      </c>
      <c r="N98" s="797" t="s">
        <v>3</v>
      </c>
      <c r="O98" s="1531" t="s">
        <v>1113</v>
      </c>
      <c r="P98" s="308">
        <f>Test_Bible!P199</f>
        <v>7</v>
      </c>
      <c r="Q98" s="308">
        <f>Test_Bible!Q199</f>
        <v>14</v>
      </c>
      <c r="R98" s="311" t="s">
        <v>2336</v>
      </c>
      <c r="S98" s="316">
        <v>0</v>
      </c>
      <c r="T98" s="317">
        <v>0</v>
      </c>
      <c r="U98" s="318">
        <v>1</v>
      </c>
      <c r="V98" s="695" t="s">
        <v>2321</v>
      </c>
      <c r="W98" s="8"/>
      <c r="X98" s="426"/>
      <c r="Y98" s="414"/>
      <c r="Z98" s="427"/>
      <c r="AA98" s="42"/>
      <c r="AB98" s="42"/>
      <c r="AC98" s="42"/>
      <c r="AD98" s="1055">
        <v>1</v>
      </c>
      <c r="AE98" s="994"/>
      <c r="AF98" s="995"/>
      <c r="AG98" s="995"/>
      <c r="AH98" s="994"/>
      <c r="AI98" s="842"/>
      <c r="AJ98" s="844"/>
    </row>
    <row r="99" spans="1:36" s="7" customFormat="1" ht="78" customHeight="1" x14ac:dyDescent="0.2">
      <c r="C99" s="775" t="s">
        <v>1276</v>
      </c>
      <c r="D99" s="357">
        <v>26</v>
      </c>
      <c r="E99" s="181" t="s">
        <v>107</v>
      </c>
      <c r="F99" s="536" t="s">
        <v>1224</v>
      </c>
      <c r="G99" s="536" t="s">
        <v>856</v>
      </c>
      <c r="H99" s="236"/>
      <c r="I99" s="917"/>
      <c r="J99" s="190"/>
      <c r="K99" s="209"/>
      <c r="L99" s="573">
        <v>1</v>
      </c>
      <c r="M99" s="549">
        <v>2</v>
      </c>
      <c r="N99" s="797" t="s">
        <v>7</v>
      </c>
      <c r="O99" s="1531" t="s">
        <v>1225</v>
      </c>
      <c r="P99" s="307">
        <f>Test_Bible!P185</f>
        <v>10</v>
      </c>
      <c r="Q99" s="307">
        <f>Test_Bible!Q185</f>
        <v>10</v>
      </c>
      <c r="R99" s="307" t="s">
        <v>1551</v>
      </c>
      <c r="S99" s="316">
        <v>0</v>
      </c>
      <c r="T99" s="317">
        <v>0</v>
      </c>
      <c r="U99" s="318">
        <v>1</v>
      </c>
      <c r="V99" s="652" t="s">
        <v>2319</v>
      </c>
      <c r="W99" s="8"/>
      <c r="X99" s="426"/>
      <c r="Y99" s="414">
        <v>1</v>
      </c>
      <c r="Z99" s="427"/>
      <c r="AA99" s="42"/>
      <c r="AB99" s="42"/>
      <c r="AC99" s="42"/>
      <c r="AD99" s="42"/>
      <c r="AE99" s="504" t="s">
        <v>24</v>
      </c>
      <c r="AF99" s="997" t="s">
        <v>511</v>
      </c>
      <c r="AG99" s="997"/>
      <c r="AH99" s="994"/>
      <c r="AI99" s="842"/>
      <c r="AJ99" s="844"/>
    </row>
    <row r="100" spans="1:36" s="7" customFormat="1" ht="45" customHeight="1" x14ac:dyDescent="0.2">
      <c r="D100" s="357">
        <v>37</v>
      </c>
      <c r="E100" s="181" t="s">
        <v>108</v>
      </c>
      <c r="F100" s="536" t="s">
        <v>1434</v>
      </c>
      <c r="G100" s="536" t="s">
        <v>857</v>
      </c>
      <c r="H100" s="236"/>
      <c r="I100" s="917"/>
      <c r="J100" s="192" t="s">
        <v>1275</v>
      </c>
      <c r="K100" s="209">
        <v>4</v>
      </c>
      <c r="L100" s="573">
        <v>1</v>
      </c>
      <c r="M100" s="550"/>
      <c r="N100" s="797" t="s">
        <v>3</v>
      </c>
      <c r="O100" s="1531" t="s">
        <v>1113</v>
      </c>
      <c r="P100" s="307">
        <f>Test_Bible!P186</f>
        <v>4</v>
      </c>
      <c r="Q100" s="307">
        <f>Test_Bible!Q186</f>
        <v>4</v>
      </c>
      <c r="R100" s="307" t="s">
        <v>2337</v>
      </c>
      <c r="S100" s="316">
        <v>0</v>
      </c>
      <c r="T100" s="317">
        <v>0</v>
      </c>
      <c r="U100" s="318">
        <v>1</v>
      </c>
      <c r="V100" s="692" t="s">
        <v>309</v>
      </c>
      <c r="W100" s="8"/>
      <c r="X100" s="426"/>
      <c r="Y100" s="44"/>
      <c r="Z100" s="427">
        <v>1</v>
      </c>
      <c r="AA100" s="42"/>
      <c r="AB100" s="42"/>
      <c r="AC100" s="42"/>
      <c r="AD100" s="42"/>
      <c r="AE100" s="504" t="s">
        <v>24</v>
      </c>
      <c r="AF100" s="990"/>
      <c r="AG100" s="990"/>
      <c r="AH100" s="504" t="s">
        <v>25</v>
      </c>
      <c r="AI100" s="267"/>
      <c r="AJ100" s="504"/>
    </row>
    <row r="101" spans="1:36" s="7" customFormat="1" ht="55" customHeight="1" x14ac:dyDescent="0.2">
      <c r="B101" s="99" t="s">
        <v>714</v>
      </c>
      <c r="D101" s="357">
        <v>38</v>
      </c>
      <c r="E101" s="120" t="s">
        <v>109</v>
      </c>
      <c r="F101" s="535" t="s">
        <v>1435</v>
      </c>
      <c r="G101" s="535" t="s">
        <v>858</v>
      </c>
      <c r="H101" s="235"/>
      <c r="I101" s="916"/>
      <c r="J101" s="189" t="s">
        <v>50</v>
      </c>
      <c r="K101" s="208"/>
      <c r="L101" s="578">
        <v>3</v>
      </c>
      <c r="M101" s="548"/>
      <c r="N101" s="797" t="s">
        <v>3</v>
      </c>
      <c r="O101" s="1531" t="s">
        <v>1113</v>
      </c>
      <c r="P101" s="307">
        <f>Test_Bible!P187</f>
        <v>4</v>
      </c>
      <c r="Q101" s="307">
        <f>Test_Bible!Q187</f>
        <v>12</v>
      </c>
      <c r="R101" s="307" t="s">
        <v>2033</v>
      </c>
      <c r="S101" s="316">
        <v>0</v>
      </c>
      <c r="T101" s="317">
        <v>1</v>
      </c>
      <c r="U101" s="318">
        <v>0</v>
      </c>
      <c r="V101" s="691" t="s">
        <v>309</v>
      </c>
      <c r="W101" s="8"/>
      <c r="X101" s="426"/>
      <c r="Y101" s="44"/>
      <c r="Z101" s="427">
        <v>1</v>
      </c>
      <c r="AA101" s="42"/>
      <c r="AB101" s="42"/>
      <c r="AC101" s="42"/>
      <c r="AD101" s="42"/>
      <c r="AE101" s="994"/>
      <c r="AF101" s="995"/>
      <c r="AG101" s="995"/>
      <c r="AH101" s="994"/>
      <c r="AI101" s="842"/>
      <c r="AJ101" s="844"/>
    </row>
    <row r="102" spans="1:36" s="7" customFormat="1" ht="54" customHeight="1" x14ac:dyDescent="0.2">
      <c r="A102" s="700" t="s">
        <v>1327</v>
      </c>
      <c r="B102" s="99" t="s">
        <v>714</v>
      </c>
      <c r="D102" s="357">
        <v>39</v>
      </c>
      <c r="E102" s="120" t="s">
        <v>110</v>
      </c>
      <c r="F102" s="535" t="s">
        <v>1235</v>
      </c>
      <c r="G102" s="535" t="s">
        <v>852</v>
      </c>
      <c r="H102" s="235"/>
      <c r="I102" s="916"/>
      <c r="J102" s="99" t="s">
        <v>50</v>
      </c>
      <c r="K102" s="208"/>
      <c r="L102" s="578">
        <v>3</v>
      </c>
      <c r="M102" s="548"/>
      <c r="N102" s="797" t="s">
        <v>3</v>
      </c>
      <c r="O102" s="1531" t="s">
        <v>1113</v>
      </c>
      <c r="P102" s="307">
        <f>Test_Bible!P188</f>
        <v>0</v>
      </c>
      <c r="Q102" s="307">
        <f>Test_Bible!Q188</f>
        <v>0</v>
      </c>
      <c r="R102" s="307" t="s">
        <v>2034</v>
      </c>
      <c r="S102" s="316">
        <v>1</v>
      </c>
      <c r="T102" s="317">
        <v>0</v>
      </c>
      <c r="U102" s="318">
        <v>0</v>
      </c>
      <c r="V102" s="691" t="s">
        <v>309</v>
      </c>
      <c r="W102" s="8"/>
      <c r="X102" s="426"/>
      <c r="Y102" s="44"/>
      <c r="Z102" s="427">
        <v>1</v>
      </c>
      <c r="AA102" s="42"/>
      <c r="AB102" s="42"/>
      <c r="AC102" s="42"/>
      <c r="AD102" s="42"/>
      <c r="AE102" s="994"/>
      <c r="AF102" s="995"/>
      <c r="AG102" s="995"/>
      <c r="AH102" s="845" t="s">
        <v>512</v>
      </c>
      <c r="AI102" s="842"/>
      <c r="AJ102" s="844"/>
    </row>
    <row r="103" spans="1:36" s="7" customFormat="1" ht="58" customHeight="1" x14ac:dyDescent="0.2">
      <c r="B103" s="99" t="s">
        <v>714</v>
      </c>
      <c r="D103" s="357">
        <v>40</v>
      </c>
      <c r="E103" s="120" t="s">
        <v>111</v>
      </c>
      <c r="F103" s="535" t="s">
        <v>1436</v>
      </c>
      <c r="G103" s="535" t="s">
        <v>859</v>
      </c>
      <c r="H103" s="235"/>
      <c r="I103" s="916"/>
      <c r="J103" s="189" t="s">
        <v>50</v>
      </c>
      <c r="K103" s="208"/>
      <c r="L103" s="577">
        <v>2</v>
      </c>
      <c r="M103" s="549"/>
      <c r="N103" s="797" t="s">
        <v>3</v>
      </c>
      <c r="O103" s="1531" t="s">
        <v>1113</v>
      </c>
      <c r="P103" s="307">
        <f>Test_Bible!P189</f>
        <v>7</v>
      </c>
      <c r="Q103" s="307">
        <f>Test_Bible!Q189</f>
        <v>14</v>
      </c>
      <c r="R103" s="307" t="s">
        <v>2035</v>
      </c>
      <c r="S103" s="316">
        <v>1</v>
      </c>
      <c r="T103" s="317">
        <v>0</v>
      </c>
      <c r="U103" s="318">
        <v>0</v>
      </c>
      <c r="V103" s="691" t="s">
        <v>309</v>
      </c>
      <c r="W103" s="8"/>
      <c r="X103" s="426"/>
      <c r="Y103" s="44"/>
      <c r="Z103" s="427">
        <v>1</v>
      </c>
      <c r="AA103" s="42"/>
      <c r="AB103" s="42"/>
      <c r="AC103" s="42"/>
      <c r="AD103" s="42"/>
      <c r="AE103" s="994"/>
      <c r="AF103" s="995"/>
      <c r="AG103" s="995"/>
      <c r="AH103" s="994"/>
      <c r="AI103" s="842"/>
      <c r="AJ103" s="844"/>
    </row>
    <row r="104" spans="1:36" s="7" customFormat="1" ht="70" customHeight="1" x14ac:dyDescent="0.2">
      <c r="A104" s="700" t="s">
        <v>695</v>
      </c>
      <c r="D104" s="357">
        <v>66</v>
      </c>
      <c r="E104" s="117" t="s">
        <v>112</v>
      </c>
      <c r="F104" s="536" t="s">
        <v>1437</v>
      </c>
      <c r="G104" s="536" t="s">
        <v>860</v>
      </c>
      <c r="H104" s="236"/>
      <c r="I104" s="917"/>
      <c r="J104" s="190"/>
      <c r="K104" s="209"/>
      <c r="L104" s="573">
        <v>1</v>
      </c>
      <c r="M104" s="550"/>
      <c r="N104" s="797" t="s">
        <v>3</v>
      </c>
      <c r="O104" s="1531" t="s">
        <v>1113</v>
      </c>
      <c r="P104" s="307">
        <f>Test_Bible!P190</f>
        <v>0</v>
      </c>
      <c r="Q104" s="307">
        <f>Test_Bible!Q190</f>
        <v>0</v>
      </c>
      <c r="R104" s="307" t="s">
        <v>618</v>
      </c>
      <c r="S104" s="316">
        <v>0</v>
      </c>
      <c r="T104" s="317">
        <v>0</v>
      </c>
      <c r="U104" s="318">
        <v>1</v>
      </c>
      <c r="V104" s="692" t="s">
        <v>309</v>
      </c>
      <c r="W104" s="8"/>
      <c r="X104" s="426"/>
      <c r="Y104" s="44"/>
      <c r="Z104" s="427">
        <v>1</v>
      </c>
      <c r="AA104" s="42"/>
      <c r="AB104" s="42"/>
      <c r="AC104" s="42"/>
      <c r="AD104" s="42"/>
      <c r="AE104" s="504" t="s">
        <v>24</v>
      </c>
      <c r="AF104" s="997" t="s">
        <v>514</v>
      </c>
      <c r="AG104" s="997"/>
      <c r="AH104" s="504" t="s">
        <v>25</v>
      </c>
      <c r="AI104" s="842"/>
      <c r="AJ104" s="844"/>
    </row>
    <row r="105" spans="1:36" s="7" customFormat="1" ht="66" customHeight="1" x14ac:dyDescent="0.2">
      <c r="A105" s="700" t="s">
        <v>696</v>
      </c>
      <c r="D105" s="357">
        <v>53</v>
      </c>
      <c r="E105" s="117" t="s">
        <v>113</v>
      </c>
      <c r="F105" s="536" t="s">
        <v>1438</v>
      </c>
      <c r="G105" s="536" t="s">
        <v>861</v>
      </c>
      <c r="H105" s="234"/>
      <c r="I105" s="914"/>
      <c r="J105" s="190" t="s">
        <v>87</v>
      </c>
      <c r="K105" s="209">
        <v>4</v>
      </c>
      <c r="L105" s="572">
        <v>2</v>
      </c>
      <c r="M105" s="564"/>
      <c r="N105" s="797" t="s">
        <v>7</v>
      </c>
      <c r="O105" s="1531" t="s">
        <v>1226</v>
      </c>
      <c r="P105" s="307">
        <f>Test_Bible!P191</f>
        <v>2</v>
      </c>
      <c r="Q105" s="307">
        <f>Test_Bible!Q191</f>
        <v>4</v>
      </c>
      <c r="R105" s="307" t="s">
        <v>2338</v>
      </c>
      <c r="S105" s="316">
        <v>0</v>
      </c>
      <c r="T105" s="317">
        <v>1</v>
      </c>
      <c r="U105" s="318">
        <v>0</v>
      </c>
      <c r="V105" s="692" t="s">
        <v>309</v>
      </c>
      <c r="W105" s="8"/>
      <c r="X105" s="426"/>
      <c r="Y105" s="44"/>
      <c r="Z105" s="427">
        <v>1</v>
      </c>
      <c r="AA105" s="42"/>
      <c r="AB105" s="42"/>
      <c r="AC105" s="42"/>
      <c r="AD105" s="42"/>
      <c r="AE105" s="994"/>
      <c r="AF105" s="995"/>
      <c r="AG105" s="995"/>
      <c r="AH105" s="994"/>
      <c r="AI105" s="842"/>
      <c r="AJ105" s="844"/>
    </row>
    <row r="106" spans="1:36" s="7" customFormat="1" ht="55" customHeight="1" x14ac:dyDescent="0.2">
      <c r="A106" s="1673"/>
      <c r="B106" s="99" t="s">
        <v>715</v>
      </c>
      <c r="D106" s="357">
        <v>54</v>
      </c>
      <c r="E106" s="120" t="s">
        <v>114</v>
      </c>
      <c r="F106" s="537" t="s">
        <v>1439</v>
      </c>
      <c r="G106" s="274" t="s">
        <v>862</v>
      </c>
      <c r="H106" s="237"/>
      <c r="I106" s="918"/>
      <c r="J106" s="189" t="s">
        <v>50</v>
      </c>
      <c r="K106" s="208"/>
      <c r="L106" s="575">
        <v>3</v>
      </c>
      <c r="M106" s="796"/>
      <c r="N106" s="1651" t="s">
        <v>7</v>
      </c>
      <c r="O106" s="1531" t="s">
        <v>1226</v>
      </c>
      <c r="P106" s="307">
        <f>Test_Bible!P192</f>
        <v>0</v>
      </c>
      <c r="Q106" s="307">
        <f>Test_Bible!Q192</f>
        <v>0</v>
      </c>
      <c r="R106" s="307" t="s">
        <v>2339</v>
      </c>
      <c r="S106" s="344">
        <v>0</v>
      </c>
      <c r="T106" s="345">
        <v>0.5</v>
      </c>
      <c r="U106" s="346">
        <v>0.5</v>
      </c>
      <c r="V106" s="692" t="s">
        <v>309</v>
      </c>
      <c r="W106" s="8"/>
      <c r="X106" s="426"/>
      <c r="Y106" s="414"/>
      <c r="Z106" s="427">
        <v>1</v>
      </c>
      <c r="AA106" s="42"/>
      <c r="AB106" s="42"/>
      <c r="AC106" s="42"/>
      <c r="AD106" s="42"/>
      <c r="AE106" s="994"/>
      <c r="AF106" s="995"/>
      <c r="AG106" s="995"/>
      <c r="AH106" s="994"/>
      <c r="AI106" s="842"/>
      <c r="AJ106" s="844"/>
    </row>
    <row r="107" spans="1:36" s="7" customFormat="1" ht="62" customHeight="1" x14ac:dyDescent="0.2">
      <c r="D107" s="357">
        <v>18</v>
      </c>
      <c r="E107" s="181" t="s">
        <v>115</v>
      </c>
      <c r="F107" s="536" t="s">
        <v>1440</v>
      </c>
      <c r="G107" s="536" t="s">
        <v>863</v>
      </c>
      <c r="H107" s="234"/>
      <c r="I107" s="914"/>
      <c r="J107" s="190" t="s">
        <v>72</v>
      </c>
      <c r="K107" s="209">
        <v>2</v>
      </c>
      <c r="L107" s="549">
        <v>2</v>
      </c>
      <c r="M107" s="549"/>
      <c r="N107" s="797" t="s">
        <v>3</v>
      </c>
      <c r="O107" s="1531" t="s">
        <v>1113</v>
      </c>
      <c r="P107" s="307">
        <f>Test_Bible!P193</f>
        <v>7</v>
      </c>
      <c r="Q107" s="307">
        <f>Test_Bible!Q193</f>
        <v>14</v>
      </c>
      <c r="R107" s="307" t="s">
        <v>2050</v>
      </c>
      <c r="S107" s="316">
        <v>1</v>
      </c>
      <c r="T107" s="317">
        <v>0</v>
      </c>
      <c r="U107" s="318">
        <v>0</v>
      </c>
      <c r="V107" s="693" t="s">
        <v>336</v>
      </c>
      <c r="W107" s="8"/>
      <c r="X107" s="426"/>
      <c r="Y107" s="44"/>
      <c r="Z107" s="427"/>
      <c r="AA107" s="1055">
        <v>1</v>
      </c>
      <c r="AB107" s="42"/>
      <c r="AC107" s="42"/>
      <c r="AD107" s="42"/>
      <c r="AE107" s="504" t="s">
        <v>24</v>
      </c>
      <c r="AF107" s="990"/>
      <c r="AG107" s="990"/>
      <c r="AH107" s="504" t="s">
        <v>25</v>
      </c>
      <c r="AI107" s="267"/>
      <c r="AJ107" s="504"/>
    </row>
    <row r="108" spans="1:36" s="7" customFormat="1" ht="52" customHeight="1" x14ac:dyDescent="0.2">
      <c r="B108" s="99" t="s">
        <v>716</v>
      </c>
      <c r="D108" s="357">
        <v>19</v>
      </c>
      <c r="E108" s="120" t="s">
        <v>116</v>
      </c>
      <c r="F108" s="274" t="s">
        <v>1441</v>
      </c>
      <c r="G108" s="274" t="s">
        <v>864</v>
      </c>
      <c r="H108" s="238"/>
      <c r="I108" s="919"/>
      <c r="J108" s="189" t="s">
        <v>50</v>
      </c>
      <c r="K108" s="208"/>
      <c r="L108" s="549">
        <v>2</v>
      </c>
      <c r="M108" s="549"/>
      <c r="N108" s="797" t="s">
        <v>3</v>
      </c>
      <c r="O108" s="1531" t="s">
        <v>1113</v>
      </c>
      <c r="P108" s="307">
        <f>Test_Bible!P194</f>
        <v>4</v>
      </c>
      <c r="Q108" s="307">
        <f>Test_Bible!Q194</f>
        <v>8</v>
      </c>
      <c r="R108" s="307" t="s">
        <v>1553</v>
      </c>
      <c r="S108" s="316">
        <v>1</v>
      </c>
      <c r="T108" s="317">
        <v>0</v>
      </c>
      <c r="U108" s="318">
        <v>0</v>
      </c>
      <c r="V108" s="693" t="s">
        <v>336</v>
      </c>
      <c r="W108" s="8"/>
      <c r="X108" s="426"/>
      <c r="Y108" s="44"/>
      <c r="Z108" s="427"/>
      <c r="AA108" s="1055">
        <v>1</v>
      </c>
      <c r="AB108" s="42"/>
      <c r="AC108" s="42"/>
      <c r="AD108" s="42"/>
      <c r="AE108" s="994"/>
      <c r="AF108" s="995"/>
      <c r="AG108" s="995"/>
      <c r="AH108" s="994"/>
      <c r="AI108" s="842"/>
      <c r="AJ108" s="844"/>
    </row>
    <row r="109" spans="1:36" s="7" customFormat="1" ht="58" customHeight="1" x14ac:dyDescent="0.2">
      <c r="B109" s="99" t="s">
        <v>716</v>
      </c>
      <c r="D109" s="357">
        <v>20</v>
      </c>
      <c r="E109" s="120" t="s">
        <v>117</v>
      </c>
      <c r="F109" s="274" t="s">
        <v>1442</v>
      </c>
      <c r="G109" s="274" t="s">
        <v>865</v>
      </c>
      <c r="H109" s="239"/>
      <c r="I109" s="920"/>
      <c r="J109" s="189" t="s">
        <v>50</v>
      </c>
      <c r="K109" s="208">
        <v>4</v>
      </c>
      <c r="L109" s="549">
        <v>2</v>
      </c>
      <c r="M109" s="549"/>
      <c r="N109" s="797" t="s">
        <v>3</v>
      </c>
      <c r="O109" s="1531" t="s">
        <v>1113</v>
      </c>
      <c r="P109" s="307">
        <f>Test_Bible!P195</f>
        <v>7</v>
      </c>
      <c r="Q109" s="307">
        <f>Test_Bible!Q195</f>
        <v>14</v>
      </c>
      <c r="R109" s="307" t="s">
        <v>1555</v>
      </c>
      <c r="S109" s="316">
        <v>1</v>
      </c>
      <c r="T109" s="317">
        <v>0</v>
      </c>
      <c r="U109" s="318">
        <v>0</v>
      </c>
      <c r="V109" s="693" t="s">
        <v>336</v>
      </c>
      <c r="W109" s="8"/>
      <c r="X109" s="426"/>
      <c r="Y109" s="44"/>
      <c r="Z109" s="427"/>
      <c r="AA109" s="1055">
        <v>1</v>
      </c>
      <c r="AB109" s="42"/>
      <c r="AC109" s="42"/>
      <c r="AD109" s="42"/>
      <c r="AE109" s="994"/>
      <c r="AF109" s="995"/>
      <c r="AG109" s="995"/>
      <c r="AH109" s="994"/>
      <c r="AI109" s="842"/>
      <c r="AJ109" s="844"/>
    </row>
    <row r="110" spans="1:36" s="7" customFormat="1" ht="60" customHeight="1" x14ac:dyDescent="0.2">
      <c r="B110" s="99" t="s">
        <v>1277</v>
      </c>
      <c r="D110" s="357">
        <v>21</v>
      </c>
      <c r="E110" s="120" t="s">
        <v>118</v>
      </c>
      <c r="F110" s="274" t="s">
        <v>1443</v>
      </c>
      <c r="G110" s="274" t="s">
        <v>866</v>
      </c>
      <c r="H110" s="238"/>
      <c r="I110" s="919"/>
      <c r="J110" s="189" t="s">
        <v>48</v>
      </c>
      <c r="K110" s="208"/>
      <c r="L110" s="548">
        <v>3</v>
      </c>
      <c r="M110" s="548"/>
      <c r="N110" s="797" t="s">
        <v>3</v>
      </c>
      <c r="O110" s="1531" t="s">
        <v>1113</v>
      </c>
      <c r="P110" s="307">
        <f>Test_Bible!P196</f>
        <v>7</v>
      </c>
      <c r="Q110" s="307">
        <f>Test_Bible!Q196</f>
        <v>21</v>
      </c>
      <c r="R110" s="307" t="s">
        <v>1554</v>
      </c>
      <c r="S110" s="316">
        <v>1</v>
      </c>
      <c r="T110" s="317">
        <v>0</v>
      </c>
      <c r="U110" s="318">
        <v>0</v>
      </c>
      <c r="V110" s="693" t="s">
        <v>336</v>
      </c>
      <c r="W110" s="8"/>
      <c r="X110" s="426"/>
      <c r="Y110" s="44"/>
      <c r="Z110" s="427"/>
      <c r="AA110" s="1055">
        <v>1</v>
      </c>
      <c r="AB110" s="42"/>
      <c r="AC110" s="42"/>
      <c r="AD110" s="42"/>
      <c r="AE110" s="994"/>
      <c r="AF110" s="995"/>
      <c r="AG110" s="995"/>
      <c r="AH110" s="994"/>
      <c r="AI110" s="842"/>
      <c r="AJ110" s="844"/>
    </row>
    <row r="111" spans="1:36" s="7" customFormat="1" ht="61" customHeight="1" x14ac:dyDescent="0.2">
      <c r="D111" s="357">
        <v>22</v>
      </c>
      <c r="E111" s="181" t="s">
        <v>119</v>
      </c>
      <c r="F111" s="536" t="s">
        <v>1444</v>
      </c>
      <c r="G111" s="536" t="s">
        <v>867</v>
      </c>
      <c r="H111" s="234"/>
      <c r="I111" s="914"/>
      <c r="J111" s="190"/>
      <c r="K111" s="209"/>
      <c r="L111" s="541">
        <v>1</v>
      </c>
      <c r="M111" s="541"/>
      <c r="N111" s="797" t="s">
        <v>3</v>
      </c>
      <c r="O111" s="1531" t="s">
        <v>1113</v>
      </c>
      <c r="P111" s="307">
        <f>Test_Bible!P197</f>
        <v>1</v>
      </c>
      <c r="Q111" s="307">
        <f>Test_Bible!Q197</f>
        <v>1</v>
      </c>
      <c r="R111" s="307" t="s">
        <v>1556</v>
      </c>
      <c r="S111" s="316">
        <v>1</v>
      </c>
      <c r="T111" s="317">
        <v>0</v>
      </c>
      <c r="U111" s="318">
        <v>0</v>
      </c>
      <c r="V111" s="693" t="s">
        <v>336</v>
      </c>
      <c r="W111" s="8"/>
      <c r="X111" s="426"/>
      <c r="Y111" s="44"/>
      <c r="Z111" s="427"/>
      <c r="AA111" s="1055">
        <v>1</v>
      </c>
      <c r="AB111" s="42"/>
      <c r="AC111" s="42"/>
      <c r="AD111" s="42"/>
      <c r="AE111" s="504" t="s">
        <v>24</v>
      </c>
      <c r="AF111" s="990"/>
      <c r="AG111" s="990"/>
      <c r="AH111" s="994"/>
      <c r="AI111" s="842"/>
      <c r="AJ111" s="844"/>
    </row>
    <row r="112" spans="1:36" s="7" customFormat="1" ht="93" customHeight="1" x14ac:dyDescent="0.2">
      <c r="C112" s="775" t="s">
        <v>1278</v>
      </c>
      <c r="D112" s="357">
        <v>17</v>
      </c>
      <c r="E112" s="181" t="s">
        <v>120</v>
      </c>
      <c r="F112" s="536" t="s">
        <v>1227</v>
      </c>
      <c r="G112" s="536" t="s">
        <v>868</v>
      </c>
      <c r="H112" s="234"/>
      <c r="I112" s="914"/>
      <c r="J112" s="190"/>
      <c r="K112" s="209">
        <v>4</v>
      </c>
      <c r="L112" s="541">
        <v>1</v>
      </c>
      <c r="M112" s="860">
        <v>3</v>
      </c>
      <c r="N112" s="797" t="s">
        <v>9</v>
      </c>
      <c r="O112" s="1531" t="s">
        <v>1475</v>
      </c>
      <c r="P112" s="307">
        <f>Test_Bible!P198</f>
        <v>7</v>
      </c>
      <c r="Q112" s="307">
        <f>Test_Bible!Q198</f>
        <v>7</v>
      </c>
      <c r="R112" s="311" t="s">
        <v>2340</v>
      </c>
      <c r="S112" s="316">
        <v>1</v>
      </c>
      <c r="T112" s="317">
        <v>0</v>
      </c>
      <c r="U112" s="318">
        <v>0</v>
      </c>
      <c r="V112" s="693" t="s">
        <v>336</v>
      </c>
      <c r="W112" s="8"/>
      <c r="X112" s="426"/>
      <c r="Y112" s="44"/>
      <c r="Z112" s="427"/>
      <c r="AA112" s="1055">
        <v>1</v>
      </c>
      <c r="AB112" s="42"/>
      <c r="AC112" s="42"/>
      <c r="AD112" s="42"/>
      <c r="AE112" s="994"/>
      <c r="AF112" s="995"/>
      <c r="AG112" s="995"/>
      <c r="AH112" s="994"/>
      <c r="AI112" s="842"/>
      <c r="AJ112" s="844"/>
    </row>
    <row r="113" spans="1:36" s="7" customFormat="1" ht="57" customHeight="1" x14ac:dyDescent="0.2">
      <c r="C113" s="815"/>
      <c r="D113" s="357">
        <v>13</v>
      </c>
      <c r="E113" s="181" t="s">
        <v>122</v>
      </c>
      <c r="F113" s="536" t="s">
        <v>1228</v>
      </c>
      <c r="G113" s="702" t="s">
        <v>869</v>
      </c>
      <c r="H113" s="234"/>
      <c r="I113" s="914"/>
      <c r="J113" s="190"/>
      <c r="K113" s="1621">
        <v>7</v>
      </c>
      <c r="L113" s="549">
        <v>2</v>
      </c>
      <c r="M113" s="549"/>
      <c r="N113" s="797" t="s">
        <v>43</v>
      </c>
      <c r="O113" s="1531" t="s">
        <v>1114</v>
      </c>
      <c r="P113" s="307">
        <f>Test_Bible!P199</f>
        <v>7</v>
      </c>
      <c r="Q113" s="307">
        <f>Test_Bible!Q199</f>
        <v>14</v>
      </c>
      <c r="R113" s="307" t="s">
        <v>2036</v>
      </c>
      <c r="S113" s="316">
        <v>1</v>
      </c>
      <c r="T113" s="317">
        <v>0</v>
      </c>
      <c r="U113" s="318">
        <v>0</v>
      </c>
      <c r="V113" s="693" t="s">
        <v>336</v>
      </c>
      <c r="W113" s="8"/>
      <c r="X113" s="426"/>
      <c r="Y113" s="44"/>
      <c r="Z113" s="427"/>
      <c r="AA113" s="1055">
        <v>1</v>
      </c>
      <c r="AB113" s="42"/>
      <c r="AC113" s="42"/>
      <c r="AD113" s="42"/>
      <c r="AE113" s="994"/>
      <c r="AF113" s="995"/>
      <c r="AG113" s="995"/>
      <c r="AH113" s="994"/>
      <c r="AI113" s="842"/>
      <c r="AJ113" s="844"/>
    </row>
    <row r="114" spans="1:36" s="7" customFormat="1" ht="80" customHeight="1" x14ac:dyDescent="0.2">
      <c r="B114" s="99" t="s">
        <v>717</v>
      </c>
      <c r="D114" s="357">
        <v>14</v>
      </c>
      <c r="E114" s="120" t="s">
        <v>123</v>
      </c>
      <c r="F114" s="274" t="s">
        <v>1229</v>
      </c>
      <c r="G114" s="698" t="s">
        <v>870</v>
      </c>
      <c r="H114" s="238"/>
      <c r="I114" s="919"/>
      <c r="J114" s="189" t="s">
        <v>50</v>
      </c>
      <c r="K114" s="208"/>
      <c r="L114" s="548">
        <v>3</v>
      </c>
      <c r="M114" s="548"/>
      <c r="N114" s="797" t="s">
        <v>7</v>
      </c>
      <c r="O114" s="1531" t="s">
        <v>1226</v>
      </c>
      <c r="P114" s="307">
        <f>Test_Bible!P200</f>
        <v>4</v>
      </c>
      <c r="Q114" s="307">
        <f>Test_Bible!Q200</f>
        <v>12</v>
      </c>
      <c r="R114" s="307" t="s">
        <v>1557</v>
      </c>
      <c r="S114" s="316">
        <v>1</v>
      </c>
      <c r="T114" s="317">
        <v>0</v>
      </c>
      <c r="U114" s="318">
        <v>0</v>
      </c>
      <c r="V114" s="693" t="s">
        <v>336</v>
      </c>
      <c r="W114" s="8"/>
      <c r="X114" s="426"/>
      <c r="Y114" s="44"/>
      <c r="Z114" s="427"/>
      <c r="AA114" s="1055">
        <v>1</v>
      </c>
      <c r="AB114" s="42"/>
      <c r="AC114" s="42"/>
      <c r="AD114" s="42"/>
      <c r="AE114" s="994"/>
      <c r="AF114" s="995"/>
      <c r="AG114" s="995"/>
      <c r="AH114" s="994"/>
      <c r="AI114" s="842"/>
      <c r="AJ114" s="844"/>
    </row>
    <row r="115" spans="1:36" s="7" customFormat="1" ht="78" customHeight="1" x14ac:dyDescent="0.2">
      <c r="D115" s="357">
        <v>29</v>
      </c>
      <c r="E115" s="181" t="s">
        <v>124</v>
      </c>
      <c r="F115" s="536" t="s">
        <v>1445</v>
      </c>
      <c r="G115" s="702" t="s">
        <v>871</v>
      </c>
      <c r="H115" s="234"/>
      <c r="I115" s="914"/>
      <c r="J115" s="190" t="s">
        <v>87</v>
      </c>
      <c r="K115" s="209">
        <v>4</v>
      </c>
      <c r="L115" s="541">
        <v>1</v>
      </c>
      <c r="M115" s="541"/>
      <c r="N115" s="797" t="s">
        <v>43</v>
      </c>
      <c r="O115" s="1531" t="s">
        <v>1114</v>
      </c>
      <c r="P115" s="307">
        <f>Test_Bible!P201</f>
        <v>10</v>
      </c>
      <c r="Q115" s="307">
        <f>Test_Bible!Q201</f>
        <v>10</v>
      </c>
      <c r="R115" s="307" t="s">
        <v>2341</v>
      </c>
      <c r="S115" s="316">
        <v>1</v>
      </c>
      <c r="T115" s="317">
        <v>0</v>
      </c>
      <c r="U115" s="318">
        <v>0</v>
      </c>
      <c r="V115" s="693" t="s">
        <v>336</v>
      </c>
      <c r="W115" s="8"/>
      <c r="X115" s="426"/>
      <c r="Y115" s="44"/>
      <c r="Z115" s="427"/>
      <c r="AA115" s="1055">
        <v>1</v>
      </c>
      <c r="AB115" s="42"/>
      <c r="AC115" s="42"/>
      <c r="AD115" s="42"/>
      <c r="AE115" s="504" t="s">
        <v>24</v>
      </c>
      <c r="AF115" s="997" t="s">
        <v>550</v>
      </c>
      <c r="AG115" s="995"/>
      <c r="AH115" s="504" t="s">
        <v>25</v>
      </c>
      <c r="AI115" s="842"/>
      <c r="AJ115" s="997" t="s">
        <v>550</v>
      </c>
    </row>
    <row r="116" spans="1:36" s="7" customFormat="1" ht="63" customHeight="1" x14ac:dyDescent="0.2">
      <c r="B116" s="99" t="s">
        <v>718</v>
      </c>
      <c r="D116" s="357">
        <v>30</v>
      </c>
      <c r="E116" s="120" t="s">
        <v>125</v>
      </c>
      <c r="F116" s="274" t="s">
        <v>1230</v>
      </c>
      <c r="G116" s="698" t="s">
        <v>872</v>
      </c>
      <c r="H116" s="238"/>
      <c r="I116" s="919"/>
      <c r="J116" s="189" t="s">
        <v>50</v>
      </c>
      <c r="K116" s="208">
        <v>4</v>
      </c>
      <c r="L116" s="549">
        <v>2</v>
      </c>
      <c r="M116" s="549"/>
      <c r="N116" s="797" t="s">
        <v>3</v>
      </c>
      <c r="O116" s="1531" t="s">
        <v>1113</v>
      </c>
      <c r="P116" s="307">
        <f>Test_Bible!P202</f>
        <v>7</v>
      </c>
      <c r="Q116" s="307">
        <f>Test_Bible!Q202</f>
        <v>14</v>
      </c>
      <c r="R116" s="307" t="s">
        <v>1558</v>
      </c>
      <c r="S116" s="316">
        <v>1</v>
      </c>
      <c r="T116" s="317">
        <v>0</v>
      </c>
      <c r="U116" s="318">
        <v>0</v>
      </c>
      <c r="V116" s="693" t="s">
        <v>336</v>
      </c>
      <c r="W116" s="8"/>
      <c r="X116" s="426"/>
      <c r="Y116" s="414"/>
      <c r="Z116" s="427"/>
      <c r="AA116" s="1055">
        <v>1</v>
      </c>
      <c r="AB116" s="42"/>
      <c r="AC116" s="42"/>
      <c r="AD116" s="42"/>
      <c r="AE116" s="994"/>
      <c r="AF116" s="995"/>
      <c r="AG116" s="995"/>
      <c r="AH116" s="994"/>
      <c r="AI116" s="842"/>
      <c r="AJ116" s="844"/>
    </row>
    <row r="117" spans="1:36" s="7" customFormat="1" ht="63" customHeight="1" x14ac:dyDescent="0.2">
      <c r="B117" s="99" t="s">
        <v>1470</v>
      </c>
      <c r="C117" s="25"/>
      <c r="D117" s="357">
        <v>31</v>
      </c>
      <c r="E117" s="120" t="s">
        <v>1139</v>
      </c>
      <c r="F117" s="535" t="s">
        <v>1446</v>
      </c>
      <c r="G117" s="859" t="s">
        <v>874</v>
      </c>
      <c r="H117" s="235"/>
      <c r="I117" s="916"/>
      <c r="J117" s="99"/>
      <c r="K117" s="208">
        <v>4</v>
      </c>
      <c r="L117" s="548">
        <v>3</v>
      </c>
      <c r="M117" s="548"/>
      <c r="N117" s="797" t="s">
        <v>3</v>
      </c>
      <c r="O117" s="1531" t="s">
        <v>1113</v>
      </c>
      <c r="P117" s="307">
        <f>Test_Bible!P203</f>
        <v>2</v>
      </c>
      <c r="Q117" s="307">
        <f>Test_Bible!Q203</f>
        <v>6</v>
      </c>
      <c r="R117" s="307" t="s">
        <v>2049</v>
      </c>
      <c r="S117" s="316">
        <v>0.5</v>
      </c>
      <c r="T117" s="317">
        <v>0</v>
      </c>
      <c r="U117" s="316">
        <v>0.5</v>
      </c>
      <c r="V117" s="691" t="s">
        <v>309</v>
      </c>
      <c r="W117" s="8"/>
      <c r="X117" s="426"/>
      <c r="Y117" s="414"/>
      <c r="Z117" s="427">
        <v>1</v>
      </c>
      <c r="AA117" s="42"/>
      <c r="AB117" s="42"/>
      <c r="AC117" s="42"/>
      <c r="AD117" s="42"/>
      <c r="AE117" s="994"/>
      <c r="AF117" s="995"/>
      <c r="AG117" s="995"/>
      <c r="AH117" s="504"/>
      <c r="AI117" s="267"/>
      <c r="AJ117" s="844"/>
    </row>
    <row r="118" spans="1:36" s="7" customFormat="1" ht="63" customHeight="1" x14ac:dyDescent="0.2">
      <c r="B118" s="99" t="s">
        <v>1471</v>
      </c>
      <c r="D118" s="357">
        <v>32</v>
      </c>
      <c r="E118" s="120" t="s">
        <v>1140</v>
      </c>
      <c r="F118" s="535" t="s">
        <v>1447</v>
      </c>
      <c r="G118" s="859" t="s">
        <v>873</v>
      </c>
      <c r="H118" s="235"/>
      <c r="I118" s="916"/>
      <c r="J118" s="99" t="s">
        <v>50</v>
      </c>
      <c r="K118" s="208"/>
      <c r="L118" s="548">
        <v>3</v>
      </c>
      <c r="M118" s="548"/>
      <c r="N118" s="797" t="s">
        <v>3</v>
      </c>
      <c r="O118" s="1531" t="s">
        <v>1113</v>
      </c>
      <c r="P118" s="307">
        <f>Test_Bible!P204</f>
        <v>0</v>
      </c>
      <c r="Q118" s="307">
        <f>Test_Bible!Q204</f>
        <v>0</v>
      </c>
      <c r="R118" s="307" t="s">
        <v>1568</v>
      </c>
      <c r="S118" s="316">
        <v>1</v>
      </c>
      <c r="T118" s="317">
        <v>0</v>
      </c>
      <c r="U118" s="318">
        <v>0</v>
      </c>
      <c r="V118" s="691" t="s">
        <v>336</v>
      </c>
      <c r="W118" s="8"/>
      <c r="X118" s="426"/>
      <c r="Y118" s="414"/>
      <c r="Z118" s="427"/>
      <c r="AA118" s="1055">
        <v>1</v>
      </c>
      <c r="AB118" s="42"/>
      <c r="AC118" s="42"/>
      <c r="AD118" s="42"/>
      <c r="AE118" s="994"/>
      <c r="AF118" s="995"/>
      <c r="AG118" s="995"/>
      <c r="AH118" s="504" t="s">
        <v>25</v>
      </c>
      <c r="AI118" s="267"/>
      <c r="AJ118" s="844"/>
    </row>
    <row r="119" spans="1:36" ht="72" customHeight="1" x14ac:dyDescent="0.2">
      <c r="D119" s="357">
        <v>3</v>
      </c>
      <c r="E119" s="181" t="s">
        <v>126</v>
      </c>
      <c r="F119" s="1585" t="s">
        <v>1231</v>
      </c>
      <c r="G119" s="702" t="s">
        <v>875</v>
      </c>
      <c r="H119" s="914"/>
      <c r="I119" s="914"/>
      <c r="J119" s="1584"/>
      <c r="K119" s="209"/>
      <c r="L119" s="541">
        <v>1</v>
      </c>
      <c r="M119" s="541"/>
      <c r="N119" s="797" t="s">
        <v>1204</v>
      </c>
      <c r="O119" s="1531" t="s">
        <v>1206</v>
      </c>
      <c r="P119" s="305">
        <f>Test_Bible!P205</f>
        <v>10</v>
      </c>
      <c r="Q119" s="305">
        <f>Test_Bible!Q205</f>
        <v>10</v>
      </c>
      <c r="R119" s="311" t="s">
        <v>2342</v>
      </c>
      <c r="S119" s="316">
        <v>0.5</v>
      </c>
      <c r="T119" s="317">
        <v>0.5</v>
      </c>
      <c r="U119" s="318">
        <v>0</v>
      </c>
      <c r="V119" s="694" t="s">
        <v>337</v>
      </c>
      <c r="W119" s="8"/>
      <c r="X119" s="426"/>
      <c r="Z119" s="428"/>
      <c r="AB119" s="1052">
        <v>1</v>
      </c>
      <c r="AE119" s="504" t="s">
        <v>24</v>
      </c>
      <c r="AF119" s="997" t="s">
        <v>509</v>
      </c>
      <c r="AG119" s="997"/>
      <c r="AH119" s="504" t="s">
        <v>25</v>
      </c>
      <c r="AI119" s="263"/>
      <c r="AJ119" s="263" t="s">
        <v>497</v>
      </c>
    </row>
    <row r="120" spans="1:36" ht="72" customHeight="1" x14ac:dyDescent="0.2">
      <c r="D120" s="357">
        <v>33</v>
      </c>
      <c r="E120" s="181" t="s">
        <v>1085</v>
      </c>
      <c r="F120" s="1585" t="s">
        <v>1448</v>
      </c>
      <c r="G120" s="702" t="s">
        <v>876</v>
      </c>
      <c r="H120" s="914"/>
      <c r="I120" s="914"/>
      <c r="J120" s="1584" t="s">
        <v>50</v>
      </c>
      <c r="K120" s="209"/>
      <c r="L120" s="549">
        <v>2</v>
      </c>
      <c r="M120" s="549"/>
      <c r="N120" s="797" t="s">
        <v>7</v>
      </c>
      <c r="O120" s="1531" t="s">
        <v>1221</v>
      </c>
      <c r="P120" s="305">
        <f>Test_Bible!P206</f>
        <v>7</v>
      </c>
      <c r="Q120" s="305">
        <f>Test_Bible!Q206</f>
        <v>14</v>
      </c>
      <c r="R120" s="305" t="s">
        <v>2343</v>
      </c>
      <c r="S120" s="316">
        <v>0</v>
      </c>
      <c r="T120" s="317">
        <v>1</v>
      </c>
      <c r="U120" s="318">
        <v>0</v>
      </c>
      <c r="V120" s="694" t="s">
        <v>337</v>
      </c>
      <c r="W120" s="8"/>
      <c r="X120" s="426"/>
      <c r="Z120" s="428"/>
      <c r="AB120" s="1052">
        <v>1</v>
      </c>
      <c r="AE120" s="504" t="s">
        <v>24</v>
      </c>
      <c r="AF120" s="997" t="s">
        <v>540</v>
      </c>
      <c r="AH120" s="504" t="s">
        <v>25</v>
      </c>
      <c r="AI120" s="842"/>
      <c r="AJ120" s="844"/>
    </row>
    <row r="121" spans="1:36" ht="73" customHeight="1" x14ac:dyDescent="0.2">
      <c r="D121" s="357">
        <v>5</v>
      </c>
      <c r="E121" s="181" t="s">
        <v>127</v>
      </c>
      <c r="F121" s="536" t="s">
        <v>1449</v>
      </c>
      <c r="G121" s="702" t="s">
        <v>877</v>
      </c>
      <c r="H121" s="234"/>
      <c r="I121" s="914"/>
      <c r="J121" s="151"/>
      <c r="K121" s="211"/>
      <c r="L121" s="541">
        <v>1</v>
      </c>
      <c r="M121" s="541"/>
      <c r="N121" s="797" t="s">
        <v>1204</v>
      </c>
      <c r="O121" s="1531" t="s">
        <v>1206</v>
      </c>
      <c r="P121" s="305">
        <f>Test_Bible!P207</f>
        <v>10</v>
      </c>
      <c r="Q121" s="305">
        <f>Test_Bible!Q207</f>
        <v>10</v>
      </c>
      <c r="R121" s="311" t="s">
        <v>2329</v>
      </c>
      <c r="S121" s="316">
        <v>0.5</v>
      </c>
      <c r="T121" s="317">
        <v>0.5</v>
      </c>
      <c r="U121" s="318">
        <v>0</v>
      </c>
      <c r="V121" s="694" t="s">
        <v>337</v>
      </c>
      <c r="W121" s="8"/>
      <c r="X121" s="426"/>
      <c r="Z121" s="428"/>
      <c r="AB121" s="1052">
        <v>1</v>
      </c>
      <c r="AE121" s="994"/>
      <c r="AF121" s="995"/>
      <c r="AG121" s="995"/>
      <c r="AH121" s="994"/>
      <c r="AI121" s="842"/>
      <c r="AJ121" s="843" t="s">
        <v>579</v>
      </c>
    </row>
    <row r="122" spans="1:36" ht="64" customHeight="1" x14ac:dyDescent="0.2">
      <c r="D122" s="357">
        <v>10</v>
      </c>
      <c r="E122" s="181" t="s">
        <v>128</v>
      </c>
      <c r="F122" s="536" t="s">
        <v>1450</v>
      </c>
      <c r="G122" s="702" t="s">
        <v>878</v>
      </c>
      <c r="H122" s="234"/>
      <c r="I122" s="914"/>
      <c r="J122" s="151"/>
      <c r="K122" s="211">
        <v>4</v>
      </c>
      <c r="L122" s="541">
        <v>1</v>
      </c>
      <c r="M122" s="541"/>
      <c r="N122" s="797" t="s">
        <v>7</v>
      </c>
      <c r="O122" s="1531" t="s">
        <v>1221</v>
      </c>
      <c r="P122" s="305">
        <f>Test_Bible!P208</f>
        <v>4</v>
      </c>
      <c r="Q122" s="305">
        <f>Test_Bible!Q208</f>
        <v>4</v>
      </c>
      <c r="R122" s="305" t="s">
        <v>2344</v>
      </c>
      <c r="S122" s="316">
        <v>0</v>
      </c>
      <c r="T122" s="317">
        <v>1</v>
      </c>
      <c r="U122" s="318">
        <v>0</v>
      </c>
      <c r="V122" s="694" t="s">
        <v>337</v>
      </c>
      <c r="W122" s="8"/>
      <c r="X122" s="426"/>
      <c r="Z122" s="428"/>
      <c r="AB122" s="1052">
        <v>1</v>
      </c>
      <c r="AE122" s="504" t="s">
        <v>24</v>
      </c>
      <c r="AH122" s="504" t="s">
        <v>25</v>
      </c>
      <c r="AI122" s="842"/>
      <c r="AJ122" s="844"/>
    </row>
    <row r="123" spans="1:36" ht="64" customHeight="1" x14ac:dyDescent="0.2">
      <c r="B123" s="99" t="s">
        <v>1295</v>
      </c>
      <c r="D123" s="357">
        <v>11</v>
      </c>
      <c r="E123" s="120" t="s">
        <v>1130</v>
      </c>
      <c r="F123" s="274" t="s">
        <v>1451</v>
      </c>
      <c r="G123" s="698"/>
      <c r="H123" s="229"/>
      <c r="I123" s="915"/>
      <c r="J123" s="99"/>
      <c r="K123" s="199"/>
      <c r="L123" s="549">
        <v>2</v>
      </c>
      <c r="M123" s="541"/>
      <c r="N123" s="797" t="s">
        <v>3</v>
      </c>
      <c r="O123" s="1531" t="s">
        <v>1113</v>
      </c>
      <c r="P123" s="305">
        <f>Test_Bible!P209</f>
        <v>2</v>
      </c>
      <c r="Q123" s="305">
        <f>Test_Bible!Q209</f>
        <v>4</v>
      </c>
      <c r="R123" s="305" t="s">
        <v>2345</v>
      </c>
      <c r="S123" s="316">
        <v>0.5</v>
      </c>
      <c r="T123" s="317">
        <v>0.5</v>
      </c>
      <c r="U123" s="318"/>
      <c r="V123" s="694" t="s">
        <v>337</v>
      </c>
      <c r="W123" s="8"/>
      <c r="X123" s="426"/>
      <c r="Z123" s="428"/>
      <c r="AB123" s="1052"/>
      <c r="AE123" s="504"/>
      <c r="AH123" s="504"/>
      <c r="AI123" s="842"/>
      <c r="AJ123" s="844"/>
    </row>
    <row r="124" spans="1:36" ht="86" customHeight="1" x14ac:dyDescent="0.2">
      <c r="C124" s="775" t="s">
        <v>1279</v>
      </c>
      <c r="D124" s="357">
        <v>55</v>
      </c>
      <c r="E124" s="181" t="s">
        <v>129</v>
      </c>
      <c r="F124" s="536" t="s">
        <v>1452</v>
      </c>
      <c r="G124" s="702" t="s">
        <v>879</v>
      </c>
      <c r="H124" s="234"/>
      <c r="I124" s="914"/>
      <c r="J124" s="151"/>
      <c r="K124" s="211">
        <v>4</v>
      </c>
      <c r="L124" s="549">
        <v>2</v>
      </c>
      <c r="M124" s="548">
        <v>3</v>
      </c>
      <c r="N124" s="797" t="s">
        <v>7</v>
      </c>
      <c r="O124" s="1531" t="s">
        <v>1221</v>
      </c>
      <c r="P124" s="305">
        <f>Test_Bible!P210</f>
        <v>7</v>
      </c>
      <c r="Q124" s="305">
        <f>Test_Bible!Q210</f>
        <v>14</v>
      </c>
      <c r="R124" s="305" t="s">
        <v>2346</v>
      </c>
      <c r="S124" s="316">
        <v>1</v>
      </c>
      <c r="T124" s="317">
        <v>0</v>
      </c>
      <c r="U124" s="318">
        <v>0</v>
      </c>
      <c r="V124" s="694" t="s">
        <v>337</v>
      </c>
      <c r="W124" s="8"/>
      <c r="X124" s="426"/>
      <c r="Z124" s="428"/>
      <c r="AB124" s="1052">
        <v>1</v>
      </c>
      <c r="AE124" s="504" t="s">
        <v>24</v>
      </c>
      <c r="AH124" s="504" t="s">
        <v>25</v>
      </c>
      <c r="AI124" s="842"/>
      <c r="AJ124" s="844"/>
    </row>
    <row r="125" spans="1:36" s="7" customFormat="1" ht="80" customHeight="1" x14ac:dyDescent="0.2">
      <c r="C125" s="775" t="s">
        <v>1280</v>
      </c>
      <c r="D125" s="357">
        <v>63</v>
      </c>
      <c r="E125" s="181" t="s">
        <v>130</v>
      </c>
      <c r="F125" s="536" t="s">
        <v>1453</v>
      </c>
      <c r="G125" s="702" t="s">
        <v>880</v>
      </c>
      <c r="H125" s="234"/>
      <c r="I125" s="914"/>
      <c r="J125" s="190" t="s">
        <v>87</v>
      </c>
      <c r="K125" s="211">
        <v>2</v>
      </c>
      <c r="L125" s="541">
        <v>1</v>
      </c>
      <c r="M125" s="549">
        <v>2</v>
      </c>
      <c r="N125" s="797" t="s">
        <v>3</v>
      </c>
      <c r="O125" s="1531" t="s">
        <v>1113</v>
      </c>
      <c r="P125" s="305">
        <f>Test_Bible!P211</f>
        <v>4</v>
      </c>
      <c r="Q125" s="305">
        <f>Test_Bible!Q211</f>
        <v>8</v>
      </c>
      <c r="R125" s="305" t="s">
        <v>2347</v>
      </c>
      <c r="S125" s="316">
        <v>0.5</v>
      </c>
      <c r="T125" s="317">
        <v>0.5</v>
      </c>
      <c r="U125" s="318">
        <v>0</v>
      </c>
      <c r="V125" s="694" t="s">
        <v>337</v>
      </c>
      <c r="W125" s="8"/>
      <c r="X125" s="426"/>
      <c r="Y125" s="44"/>
      <c r="Z125" s="427"/>
      <c r="AA125" s="42"/>
      <c r="AB125" s="1052">
        <v>1</v>
      </c>
      <c r="AC125" s="42"/>
      <c r="AD125" s="42"/>
      <c r="AE125" s="994"/>
      <c r="AF125" s="995"/>
      <c r="AG125" s="995"/>
      <c r="AH125" s="994"/>
      <c r="AI125" s="842"/>
      <c r="AJ125" s="844"/>
    </row>
    <row r="126" spans="1:36" s="7" customFormat="1" ht="84" customHeight="1" x14ac:dyDescent="0.2">
      <c r="B126" s="99" t="s">
        <v>719</v>
      </c>
      <c r="D126" s="357">
        <v>64</v>
      </c>
      <c r="E126" s="120" t="s">
        <v>131</v>
      </c>
      <c r="F126" s="274" t="s">
        <v>1454</v>
      </c>
      <c r="G126" s="507" t="s">
        <v>881</v>
      </c>
      <c r="H126" s="280" t="s">
        <v>383</v>
      </c>
      <c r="I126" s="921"/>
      <c r="J126" s="189" t="s">
        <v>50</v>
      </c>
      <c r="K126" s="208"/>
      <c r="L126" s="1583"/>
      <c r="M126" s="1582"/>
      <c r="N126" s="797" t="s">
        <v>132</v>
      </c>
      <c r="O126" s="1531" t="s">
        <v>389</v>
      </c>
      <c r="P126" s="302"/>
      <c r="Q126" s="302"/>
      <c r="R126" s="302"/>
      <c r="S126" s="315" t="s">
        <v>34</v>
      </c>
      <c r="T126" s="339" t="s">
        <v>34</v>
      </c>
      <c r="U126" s="342" t="s">
        <v>34</v>
      </c>
      <c r="V126" s="694" t="s">
        <v>337</v>
      </c>
      <c r="W126" s="8"/>
      <c r="X126" s="426"/>
      <c r="Y126" s="44"/>
      <c r="Z126" s="427"/>
      <c r="AA126" s="42"/>
      <c r="AB126" s="1052">
        <v>1</v>
      </c>
      <c r="AC126" s="42"/>
      <c r="AD126" s="42"/>
      <c r="AE126" s="994"/>
      <c r="AF126" s="995"/>
      <c r="AG126" s="995"/>
      <c r="AH126" s="504" t="s">
        <v>25</v>
      </c>
      <c r="AI126" s="842"/>
      <c r="AJ126" s="844"/>
    </row>
    <row r="127" spans="1:36" s="7" customFormat="1" ht="34" x14ac:dyDescent="0.2">
      <c r="A127" s="700" t="s">
        <v>696</v>
      </c>
      <c r="D127" s="357">
        <v>65</v>
      </c>
      <c r="E127" s="181" t="s">
        <v>133</v>
      </c>
      <c r="F127" s="536" t="s">
        <v>1455</v>
      </c>
      <c r="G127" s="386" t="s">
        <v>882</v>
      </c>
      <c r="H127" s="234"/>
      <c r="I127" s="914"/>
      <c r="J127" s="190"/>
      <c r="K127" s="209">
        <v>4</v>
      </c>
      <c r="L127" s="549">
        <v>2</v>
      </c>
      <c r="M127" s="549"/>
      <c r="N127" s="797" t="s">
        <v>7</v>
      </c>
      <c r="O127" s="1531" t="s">
        <v>1221</v>
      </c>
      <c r="P127" s="308">
        <f>Test_Bible!P216</f>
        <v>10</v>
      </c>
      <c r="Q127" s="308">
        <f>Test_Bible!Q216</f>
        <v>20</v>
      </c>
      <c r="R127" s="1720" t="s">
        <v>2348</v>
      </c>
      <c r="S127" s="316">
        <v>0.5</v>
      </c>
      <c r="T127" s="317">
        <v>0.5</v>
      </c>
      <c r="U127" s="318">
        <v>0</v>
      </c>
      <c r="V127" s="694" t="s">
        <v>337</v>
      </c>
      <c r="W127" s="8"/>
      <c r="X127" s="426"/>
      <c r="Y127" s="44"/>
      <c r="Z127" s="427"/>
      <c r="AA127" s="42"/>
      <c r="AB127" s="1052">
        <v>1</v>
      </c>
      <c r="AC127" s="42"/>
      <c r="AD127" s="42"/>
      <c r="AE127" s="994"/>
      <c r="AF127" s="995"/>
      <c r="AG127" s="995"/>
      <c r="AH127" s="504"/>
      <c r="AI127" s="842"/>
      <c r="AJ127" s="844"/>
    </row>
    <row r="128" spans="1:36" s="7" customFormat="1" ht="63" customHeight="1" x14ac:dyDescent="0.2">
      <c r="A128" s="700" t="s">
        <v>739</v>
      </c>
      <c r="D128" s="357">
        <v>62</v>
      </c>
      <c r="E128" s="181" t="s">
        <v>134</v>
      </c>
      <c r="F128" s="536" t="s">
        <v>1456</v>
      </c>
      <c r="G128" s="386" t="s">
        <v>883</v>
      </c>
      <c r="H128" s="234"/>
      <c r="I128" s="914"/>
      <c r="J128" s="190"/>
      <c r="K128" s="209"/>
      <c r="L128" s="549">
        <v>2</v>
      </c>
      <c r="M128" s="549"/>
      <c r="N128" s="797" t="s">
        <v>7</v>
      </c>
      <c r="O128" s="1531" t="s">
        <v>1221</v>
      </c>
      <c r="P128" s="308">
        <f>Test_Bible!P217</f>
        <v>0</v>
      </c>
      <c r="Q128" s="308">
        <f>Test_Bible!Q217</f>
        <v>0</v>
      </c>
      <c r="R128" s="1720" t="s">
        <v>2349</v>
      </c>
      <c r="S128" s="316">
        <v>1</v>
      </c>
      <c r="T128" s="317">
        <v>0</v>
      </c>
      <c r="U128" s="318">
        <v>0</v>
      </c>
      <c r="V128" s="694" t="s">
        <v>337</v>
      </c>
      <c r="W128" s="8"/>
      <c r="X128" s="426"/>
      <c r="Y128" s="44"/>
      <c r="Z128" s="427"/>
      <c r="AA128" s="42"/>
      <c r="AB128" s="1052">
        <v>1</v>
      </c>
      <c r="AC128" s="42"/>
      <c r="AD128" s="42"/>
      <c r="AE128" s="994"/>
      <c r="AF128" s="995"/>
      <c r="AG128" s="995"/>
      <c r="AH128" s="994"/>
      <c r="AI128" s="842"/>
      <c r="AJ128" s="844"/>
    </row>
    <row r="129" spans="1:36" s="7" customFormat="1" ht="58" customHeight="1" x14ac:dyDescent="0.2">
      <c r="D129" s="357">
        <v>15</v>
      </c>
      <c r="E129" s="181" t="s">
        <v>135</v>
      </c>
      <c r="F129" s="536" t="s">
        <v>1232</v>
      </c>
      <c r="G129" s="386" t="s">
        <v>884</v>
      </c>
      <c r="H129" s="234"/>
      <c r="I129" s="914"/>
      <c r="J129" s="190"/>
      <c r="K129" s="209">
        <v>4</v>
      </c>
      <c r="L129" s="549">
        <v>2</v>
      </c>
      <c r="M129" s="549"/>
      <c r="N129" s="797" t="s">
        <v>43</v>
      </c>
      <c r="O129" s="1531" t="s">
        <v>1114</v>
      </c>
      <c r="P129" s="308">
        <f>Test_Bible!P218</f>
        <v>7</v>
      </c>
      <c r="Q129" s="308">
        <f>Test_Bible!Q218</f>
        <v>14</v>
      </c>
      <c r="R129" s="311" t="s">
        <v>2350</v>
      </c>
      <c r="S129" s="316">
        <v>1</v>
      </c>
      <c r="T129" s="317">
        <v>0</v>
      </c>
      <c r="U129" s="318">
        <v>0</v>
      </c>
      <c r="V129" s="694" t="s">
        <v>337</v>
      </c>
      <c r="W129" s="8"/>
      <c r="X129" s="426"/>
      <c r="Y129" s="44"/>
      <c r="Z129" s="427"/>
      <c r="AA129" s="42"/>
      <c r="AB129" s="1052">
        <v>1</v>
      </c>
      <c r="AC129" s="42"/>
      <c r="AD129" s="42"/>
      <c r="AE129" s="994"/>
      <c r="AF129" s="995"/>
      <c r="AG129" s="995"/>
      <c r="AH129" s="994"/>
      <c r="AI129" s="842"/>
      <c r="AJ129" s="844"/>
    </row>
    <row r="130" spans="1:36" s="7" customFormat="1" ht="55" customHeight="1" x14ac:dyDescent="0.2">
      <c r="B130" s="99" t="s">
        <v>720</v>
      </c>
      <c r="D130" s="357">
        <v>16</v>
      </c>
      <c r="E130" s="120" t="s">
        <v>136</v>
      </c>
      <c r="F130" s="274" t="s">
        <v>1457</v>
      </c>
      <c r="G130" s="507" t="s">
        <v>380</v>
      </c>
      <c r="H130" s="229"/>
      <c r="I130" s="915"/>
      <c r="J130" s="189" t="s">
        <v>50</v>
      </c>
      <c r="K130" s="208"/>
      <c r="L130" s="548">
        <v>3</v>
      </c>
      <c r="M130" s="548"/>
      <c r="N130" s="797" t="s">
        <v>7</v>
      </c>
      <c r="O130" s="1531" t="s">
        <v>1221</v>
      </c>
      <c r="P130" s="308">
        <f>Test_Bible!P219</f>
        <v>4</v>
      </c>
      <c r="Q130" s="308">
        <f>Test_Bible!Q219</f>
        <v>12</v>
      </c>
      <c r="R130" s="1720" t="s">
        <v>1559</v>
      </c>
      <c r="S130" s="316">
        <v>0.5</v>
      </c>
      <c r="T130" s="317">
        <v>0.5</v>
      </c>
      <c r="U130" s="318">
        <v>0</v>
      </c>
      <c r="V130" s="694" t="s">
        <v>337</v>
      </c>
      <c r="W130" s="8"/>
      <c r="X130" s="426"/>
      <c r="Y130" s="44"/>
      <c r="Z130" s="427"/>
      <c r="AA130" s="42"/>
      <c r="AB130" s="1052">
        <v>1</v>
      </c>
      <c r="AC130" s="42"/>
      <c r="AD130" s="42"/>
      <c r="AE130" s="504" t="s">
        <v>24</v>
      </c>
      <c r="AF130" s="990"/>
      <c r="AG130" s="990"/>
      <c r="AH130" s="504" t="s">
        <v>25</v>
      </c>
      <c r="AI130" s="842"/>
      <c r="AJ130" s="844"/>
    </row>
    <row r="131" spans="1:36" s="7" customFormat="1" ht="79" customHeight="1" x14ac:dyDescent="0.25">
      <c r="A131" s="700" t="s">
        <v>739</v>
      </c>
      <c r="D131" s="357">
        <v>45</v>
      </c>
      <c r="E131" s="182" t="s">
        <v>1043</v>
      </c>
      <c r="F131" s="536" t="s">
        <v>1458</v>
      </c>
      <c r="G131" s="511" t="s">
        <v>885</v>
      </c>
      <c r="H131" s="240"/>
      <c r="I131" s="922"/>
      <c r="J131" s="190"/>
      <c r="K131" s="209"/>
      <c r="L131" s="548">
        <v>3</v>
      </c>
      <c r="M131" s="548"/>
      <c r="N131" s="797" t="s">
        <v>7</v>
      </c>
      <c r="O131" s="1531" t="s">
        <v>1221</v>
      </c>
      <c r="P131" s="308">
        <f>Test_Bible!P220</f>
        <v>0</v>
      </c>
      <c r="Q131" s="308">
        <f>Test_Bible!Q220</f>
        <v>0</v>
      </c>
      <c r="R131" s="1720" t="s">
        <v>2037</v>
      </c>
      <c r="S131" s="319">
        <v>1</v>
      </c>
      <c r="T131" s="339">
        <v>0</v>
      </c>
      <c r="U131" s="340">
        <v>0</v>
      </c>
      <c r="V131" s="656" t="s">
        <v>337</v>
      </c>
      <c r="W131" s="8"/>
      <c r="X131" s="426"/>
      <c r="Y131" s="44"/>
      <c r="Z131" s="427"/>
      <c r="AA131" s="42"/>
      <c r="AB131" s="1052">
        <v>1</v>
      </c>
      <c r="AC131" s="42"/>
      <c r="AD131" s="42"/>
      <c r="AE131" s="1003" t="s">
        <v>24</v>
      </c>
      <c r="AF131" s="1004"/>
      <c r="AG131" s="1004"/>
      <c r="AH131" s="504" t="s">
        <v>25</v>
      </c>
      <c r="AI131" s="1005"/>
      <c r="AJ131" s="1006"/>
    </row>
    <row r="132" spans="1:36" s="7" customFormat="1" ht="58" customHeight="1" x14ac:dyDescent="0.25">
      <c r="D132" s="357">
        <v>23</v>
      </c>
      <c r="E132" s="182" t="s">
        <v>137</v>
      </c>
      <c r="F132" s="536" t="s">
        <v>1808</v>
      </c>
      <c r="G132" s="511" t="s">
        <v>885</v>
      </c>
      <c r="H132" s="240"/>
      <c r="I132" s="922"/>
      <c r="J132" s="190"/>
      <c r="K132" s="209">
        <v>2</v>
      </c>
      <c r="L132" s="549">
        <v>2</v>
      </c>
      <c r="M132" s="549"/>
      <c r="N132" s="797" t="s">
        <v>3</v>
      </c>
      <c r="O132" s="1531" t="s">
        <v>1113</v>
      </c>
      <c r="P132" s="1578">
        <f>Test_Bible!P222</f>
        <v>25</v>
      </c>
      <c r="Q132" s="1575">
        <f>Test_Bible!Q222</f>
        <v>0</v>
      </c>
      <c r="R132" s="311" t="s">
        <v>1545</v>
      </c>
      <c r="S132" s="319">
        <v>1</v>
      </c>
      <c r="T132" s="339">
        <v>0</v>
      </c>
      <c r="U132" s="340">
        <v>0</v>
      </c>
      <c r="V132" s="656" t="s">
        <v>337</v>
      </c>
      <c r="W132" s="8"/>
      <c r="X132" s="426"/>
      <c r="Y132" s="44"/>
      <c r="Z132" s="427"/>
      <c r="AA132" s="42"/>
      <c r="AB132" s="1052">
        <v>1</v>
      </c>
      <c r="AC132" s="42"/>
      <c r="AD132" s="42"/>
      <c r="AE132" s="1003" t="s">
        <v>24</v>
      </c>
      <c r="AF132" s="1004"/>
      <c r="AG132" s="1004"/>
      <c r="AH132" s="504" t="s">
        <v>25</v>
      </c>
      <c r="AI132" s="1005"/>
      <c r="AJ132" s="1006"/>
    </row>
    <row r="133" spans="1:36" s="7" customFormat="1" ht="149" customHeight="1" x14ac:dyDescent="0.2">
      <c r="B133" s="99" t="s">
        <v>721</v>
      </c>
      <c r="D133" s="357">
        <v>24</v>
      </c>
      <c r="E133" s="862" t="s">
        <v>138</v>
      </c>
      <c r="F133" s="864" t="s">
        <v>1459</v>
      </c>
      <c r="G133" s="865" t="s">
        <v>139</v>
      </c>
      <c r="H133" s="861" t="s">
        <v>1051</v>
      </c>
      <c r="I133" s="923"/>
      <c r="J133" s="142" t="s">
        <v>50</v>
      </c>
      <c r="K133" s="206"/>
      <c r="L133" s="566"/>
      <c r="M133" s="566"/>
      <c r="N133" s="794" t="s">
        <v>51</v>
      </c>
      <c r="O133" s="1577"/>
      <c r="P133" s="1579"/>
      <c r="Q133" s="303"/>
      <c r="R133" s="303"/>
      <c r="S133" s="315" t="s">
        <v>34</v>
      </c>
      <c r="T133" s="339" t="s">
        <v>34</v>
      </c>
      <c r="U133" s="342" t="s">
        <v>34</v>
      </c>
      <c r="V133" s="655" t="s">
        <v>337</v>
      </c>
      <c r="W133" s="8"/>
      <c r="X133" s="426"/>
      <c r="Y133" s="44"/>
      <c r="Z133" s="427"/>
      <c r="AA133" s="42"/>
      <c r="AB133" s="1052">
        <v>1</v>
      </c>
      <c r="AC133" s="42"/>
      <c r="AD133" s="42"/>
      <c r="AE133" s="1007" t="s">
        <v>67</v>
      </c>
      <c r="AF133" s="998"/>
      <c r="AG133" s="998"/>
      <c r="AH133" s="504" t="s">
        <v>25</v>
      </c>
      <c r="AI133" s="1009"/>
      <c r="AJ133" s="1010"/>
    </row>
    <row r="134" spans="1:36" s="7" customFormat="1" ht="52" customHeight="1" x14ac:dyDescent="0.2">
      <c r="B134" s="99" t="s">
        <v>721</v>
      </c>
      <c r="D134" s="357">
        <v>25</v>
      </c>
      <c r="E134" s="862" t="s">
        <v>1168</v>
      </c>
      <c r="F134" s="864" t="s">
        <v>1460</v>
      </c>
      <c r="G134" s="865" t="s">
        <v>886</v>
      </c>
      <c r="H134" s="861"/>
      <c r="I134" s="923"/>
      <c r="J134" s="142" t="s">
        <v>50</v>
      </c>
      <c r="K134" s="206"/>
      <c r="L134" s="566"/>
      <c r="M134" s="566"/>
      <c r="N134" s="794" t="s">
        <v>46</v>
      </c>
      <c r="O134" s="1577"/>
      <c r="P134" s="1580"/>
      <c r="Q134" s="301"/>
      <c r="R134" s="301"/>
      <c r="S134" s="315" t="s">
        <v>34</v>
      </c>
      <c r="T134" s="339" t="s">
        <v>34</v>
      </c>
      <c r="U134" s="342" t="s">
        <v>34</v>
      </c>
      <c r="V134" s="655" t="s">
        <v>337</v>
      </c>
      <c r="W134" s="8"/>
      <c r="X134" s="426"/>
      <c r="Y134" s="44"/>
      <c r="Z134" s="427"/>
      <c r="AA134" s="42"/>
      <c r="AB134" s="1052">
        <v>1</v>
      </c>
      <c r="AC134" s="42"/>
      <c r="AD134" s="42"/>
      <c r="AE134" s="1003" t="s">
        <v>24</v>
      </c>
      <c r="AF134" s="1012" t="s">
        <v>529</v>
      </c>
      <c r="AG134" s="1024" t="s">
        <v>530</v>
      </c>
      <c r="AH134" s="504" t="s">
        <v>25</v>
      </c>
      <c r="AI134" s="1009"/>
      <c r="AJ134" s="1010"/>
    </row>
    <row r="135" spans="1:36" ht="70" customHeight="1" x14ac:dyDescent="0.2">
      <c r="A135" s="174" t="s">
        <v>1281</v>
      </c>
      <c r="D135" s="357">
        <v>47</v>
      </c>
      <c r="E135" s="182" t="s">
        <v>140</v>
      </c>
      <c r="F135" s="702" t="s">
        <v>1234</v>
      </c>
      <c r="G135" s="866" t="s">
        <v>887</v>
      </c>
      <c r="H135" s="234"/>
      <c r="I135" s="914"/>
      <c r="J135" s="190"/>
      <c r="K135" s="212">
        <v>4</v>
      </c>
      <c r="L135" s="548">
        <v>3</v>
      </c>
      <c r="M135" s="548"/>
      <c r="N135" s="794" t="s">
        <v>7</v>
      </c>
      <c r="O135" s="1531" t="s">
        <v>1221</v>
      </c>
      <c r="P135" s="1581">
        <f>Test_Bible!P234</f>
        <v>7</v>
      </c>
      <c r="Q135" s="305">
        <f>Test_Bible!Q234</f>
        <v>21</v>
      </c>
      <c r="R135" s="1576" t="s">
        <v>1560</v>
      </c>
      <c r="S135" s="316">
        <v>0.5</v>
      </c>
      <c r="T135" s="317">
        <v>0.5</v>
      </c>
      <c r="U135" s="318">
        <v>0</v>
      </c>
      <c r="V135" s="694" t="s">
        <v>337</v>
      </c>
      <c r="W135" s="8"/>
      <c r="X135" s="426"/>
      <c r="Z135" s="428"/>
      <c r="AB135" s="1052">
        <v>1</v>
      </c>
      <c r="AE135" s="994"/>
      <c r="AF135" s="995"/>
      <c r="AG135" s="995"/>
      <c r="AH135" s="994"/>
      <c r="AI135" s="842"/>
      <c r="AJ135" s="844"/>
    </row>
    <row r="136" spans="1:36" ht="52" customHeight="1" x14ac:dyDescent="0.2">
      <c r="B136" s="99" t="s">
        <v>722</v>
      </c>
      <c r="D136" s="357">
        <v>48</v>
      </c>
      <c r="E136" s="118" t="s">
        <v>141</v>
      </c>
      <c r="F136" s="698" t="s">
        <v>1233</v>
      </c>
      <c r="G136" s="698" t="s">
        <v>888</v>
      </c>
      <c r="H136" s="229"/>
      <c r="I136" s="915"/>
      <c r="J136" s="99" t="s">
        <v>50</v>
      </c>
      <c r="K136" s="199">
        <v>4</v>
      </c>
      <c r="L136" s="548">
        <v>3</v>
      </c>
      <c r="M136" s="548"/>
      <c r="N136" s="794" t="s">
        <v>7</v>
      </c>
      <c r="O136" s="1531" t="s">
        <v>1221</v>
      </c>
      <c r="P136" s="305">
        <f>Test_Bible!P235</f>
        <v>7</v>
      </c>
      <c r="Q136" s="305">
        <f>Test_Bible!Q235</f>
        <v>21</v>
      </c>
      <c r="R136" s="305" t="s">
        <v>2038</v>
      </c>
      <c r="S136" s="316">
        <v>0.5</v>
      </c>
      <c r="T136" s="317">
        <v>0.5</v>
      </c>
      <c r="U136" s="318">
        <v>0</v>
      </c>
      <c r="V136" s="694" t="s">
        <v>337</v>
      </c>
      <c r="W136" s="8"/>
      <c r="X136" s="426"/>
      <c r="Z136" s="428"/>
      <c r="AB136" s="1052">
        <v>1</v>
      </c>
      <c r="AE136" s="504" t="s">
        <v>24</v>
      </c>
      <c r="AH136" s="845" t="s">
        <v>512</v>
      </c>
      <c r="AJ136" s="466" t="s">
        <v>580</v>
      </c>
    </row>
    <row r="137" spans="1:36" ht="54" customHeight="1" x14ac:dyDescent="0.2">
      <c r="A137" s="700" t="s">
        <v>741</v>
      </c>
      <c r="B137" s="99" t="s">
        <v>723</v>
      </c>
      <c r="D137" s="357">
        <v>49</v>
      </c>
      <c r="E137" s="118" t="s">
        <v>142</v>
      </c>
      <c r="F137" s="859" t="s">
        <v>1235</v>
      </c>
      <c r="G137" s="859" t="s">
        <v>852</v>
      </c>
      <c r="H137" s="242"/>
      <c r="I137" s="924"/>
      <c r="J137" s="99" t="s">
        <v>48</v>
      </c>
      <c r="K137" s="199"/>
      <c r="L137" s="548">
        <v>3</v>
      </c>
      <c r="M137" s="548"/>
      <c r="N137" s="794" t="s">
        <v>3</v>
      </c>
      <c r="O137" s="272" t="s">
        <v>1113</v>
      </c>
      <c r="P137" s="305">
        <f>Test_Bible!P236</f>
        <v>0</v>
      </c>
      <c r="Q137" s="305">
        <f>Test_Bible!Q236</f>
        <v>0</v>
      </c>
      <c r="R137" s="307" t="s">
        <v>2034</v>
      </c>
      <c r="S137" s="316">
        <v>1</v>
      </c>
      <c r="T137" s="317">
        <v>0</v>
      </c>
      <c r="U137" s="318">
        <v>0</v>
      </c>
      <c r="V137" s="691" t="s">
        <v>337</v>
      </c>
      <c r="W137" s="8"/>
      <c r="X137" s="426"/>
      <c r="Z137" s="428"/>
      <c r="AB137" s="1052">
        <v>1</v>
      </c>
      <c r="AE137" s="994"/>
      <c r="AF137" s="995"/>
      <c r="AG137" s="995"/>
      <c r="AH137" s="504" t="s">
        <v>25</v>
      </c>
      <c r="AI137" s="842"/>
      <c r="AJ137" s="1025" t="s">
        <v>581</v>
      </c>
    </row>
    <row r="138" spans="1:36" ht="161" customHeight="1" x14ac:dyDescent="0.2">
      <c r="B138" s="99" t="s">
        <v>723</v>
      </c>
      <c r="D138" s="357">
        <v>50</v>
      </c>
      <c r="E138" s="118" t="s">
        <v>594</v>
      </c>
      <c r="F138" s="698" t="s">
        <v>1461</v>
      </c>
      <c r="G138" s="698" t="s">
        <v>889</v>
      </c>
      <c r="H138" s="281" t="s">
        <v>485</v>
      </c>
      <c r="I138" s="905"/>
      <c r="J138" s="99" t="s">
        <v>48</v>
      </c>
      <c r="K138" s="199"/>
      <c r="L138" s="566"/>
      <c r="M138" s="566"/>
      <c r="N138" s="794" t="s">
        <v>51</v>
      </c>
      <c r="P138" s="299"/>
      <c r="Q138" s="299"/>
      <c r="R138" s="299"/>
      <c r="S138" s="315" t="s">
        <v>34</v>
      </c>
      <c r="T138" s="339" t="s">
        <v>34</v>
      </c>
      <c r="U138" s="342" t="s">
        <v>34</v>
      </c>
      <c r="V138" s="694" t="s">
        <v>337</v>
      </c>
      <c r="W138" s="8"/>
      <c r="X138" s="426"/>
      <c r="Y138" s="414"/>
      <c r="Z138" s="427"/>
      <c r="AB138" s="1052">
        <v>1</v>
      </c>
      <c r="AE138" s="504" t="s">
        <v>24</v>
      </c>
      <c r="AF138" s="1026" t="s">
        <v>519</v>
      </c>
      <c r="AG138" s="1026"/>
      <c r="AH138" s="504" t="s">
        <v>25</v>
      </c>
      <c r="AI138" s="263"/>
      <c r="AJ138" s="466" t="s">
        <v>518</v>
      </c>
    </row>
    <row r="139" spans="1:36" s="7" customFormat="1" ht="51" x14ac:dyDescent="0.2">
      <c r="A139" s="25"/>
      <c r="C139" s="775" t="s">
        <v>1188</v>
      </c>
      <c r="D139" s="357">
        <v>0</v>
      </c>
      <c r="E139" s="181" t="s">
        <v>143</v>
      </c>
      <c r="F139" s="702" t="s">
        <v>1462</v>
      </c>
      <c r="G139" s="702" t="s">
        <v>890</v>
      </c>
      <c r="H139" s="234"/>
      <c r="I139" s="914"/>
      <c r="J139" s="190" t="s">
        <v>87</v>
      </c>
      <c r="K139" s="209">
        <v>4</v>
      </c>
      <c r="L139" s="541">
        <v>1</v>
      </c>
      <c r="M139" s="541">
        <v>0</v>
      </c>
      <c r="N139" s="794" t="s">
        <v>1204</v>
      </c>
      <c r="O139" s="1531" t="s">
        <v>1206</v>
      </c>
      <c r="P139" s="308">
        <f>Test_Bible!P243</f>
        <v>4</v>
      </c>
      <c r="Q139" s="308">
        <f>Test_Bible!Q243</f>
        <v>4</v>
      </c>
      <c r="R139" s="311" t="s">
        <v>2039</v>
      </c>
      <c r="S139" s="316">
        <v>0</v>
      </c>
      <c r="T139" s="317">
        <v>1</v>
      </c>
      <c r="U139" s="318">
        <v>0</v>
      </c>
      <c r="V139" s="664" t="s">
        <v>310</v>
      </c>
      <c r="W139" s="8"/>
      <c r="X139" s="426"/>
      <c r="Y139" s="44"/>
      <c r="Z139" s="427"/>
      <c r="AA139" s="42"/>
      <c r="AB139" s="42"/>
      <c r="AC139" s="1055">
        <v>1</v>
      </c>
      <c r="AD139" s="42"/>
      <c r="AE139" s="994"/>
      <c r="AF139" s="995"/>
      <c r="AG139" s="995"/>
      <c r="AH139" s="504" t="s">
        <v>25</v>
      </c>
      <c r="AI139" s="842"/>
      <c r="AJ139" s="1014"/>
    </row>
    <row r="140" spans="1:36" s="7" customFormat="1" ht="52" customHeight="1" x14ac:dyDescent="0.2">
      <c r="B140" s="99" t="s">
        <v>724</v>
      </c>
      <c r="D140" s="357">
        <v>1</v>
      </c>
      <c r="E140" s="120" t="s">
        <v>144</v>
      </c>
      <c r="F140" s="698" t="s">
        <v>1463</v>
      </c>
      <c r="G140" s="698" t="s">
        <v>891</v>
      </c>
      <c r="H140" s="229"/>
      <c r="I140" s="915"/>
      <c r="J140" s="189" t="s">
        <v>50</v>
      </c>
      <c r="K140" s="208">
        <v>4</v>
      </c>
      <c r="L140" s="549">
        <v>2</v>
      </c>
      <c r="M140" s="549"/>
      <c r="N140" s="794" t="s">
        <v>7</v>
      </c>
      <c r="O140" s="1531" t="s">
        <v>1221</v>
      </c>
      <c r="P140" s="308">
        <f>Test_Bible!P244</f>
        <v>4</v>
      </c>
      <c r="Q140" s="308">
        <f>Test_Bible!Q244</f>
        <v>8</v>
      </c>
      <c r="R140" s="353" t="s">
        <v>1547</v>
      </c>
      <c r="S140" s="316">
        <v>0</v>
      </c>
      <c r="T140" s="317">
        <v>1</v>
      </c>
      <c r="U140" s="318">
        <v>0</v>
      </c>
      <c r="V140" s="664" t="s">
        <v>310</v>
      </c>
      <c r="W140" s="8"/>
      <c r="X140" s="426"/>
      <c r="Y140" s="44"/>
      <c r="Z140" s="427"/>
      <c r="AA140" s="42"/>
      <c r="AB140" s="42"/>
      <c r="AC140" s="1055">
        <v>1</v>
      </c>
      <c r="AD140" s="42"/>
      <c r="AE140" s="504" t="s">
        <v>24</v>
      </c>
      <c r="AF140" s="997" t="s">
        <v>516</v>
      </c>
      <c r="AG140" s="997"/>
      <c r="AH140" s="504" t="s">
        <v>25</v>
      </c>
      <c r="AI140" s="842"/>
      <c r="AJ140" s="1014" t="s">
        <v>574</v>
      </c>
    </row>
    <row r="141" spans="1:36" s="7" customFormat="1" ht="60" customHeight="1" x14ac:dyDescent="0.2">
      <c r="B141" s="99" t="s">
        <v>725</v>
      </c>
      <c r="D141" s="357">
        <v>2</v>
      </c>
      <c r="E141" s="120" t="s">
        <v>145</v>
      </c>
      <c r="F141" s="698" t="s">
        <v>1236</v>
      </c>
      <c r="G141" s="698" t="s">
        <v>892</v>
      </c>
      <c r="H141" s="229"/>
      <c r="I141" s="915"/>
      <c r="J141" s="189" t="s">
        <v>48</v>
      </c>
      <c r="K141" s="208"/>
      <c r="L141" s="549">
        <v>2</v>
      </c>
      <c r="M141" s="549"/>
      <c r="N141" s="794" t="s">
        <v>3</v>
      </c>
      <c r="O141" s="272" t="s">
        <v>1113</v>
      </c>
      <c r="P141" s="308">
        <f>Test_Bible!P245</f>
        <v>4</v>
      </c>
      <c r="Q141" s="308">
        <f>Test_Bible!Q245</f>
        <v>8</v>
      </c>
      <c r="R141" s="353" t="s">
        <v>1561</v>
      </c>
      <c r="S141" s="316">
        <v>0</v>
      </c>
      <c r="T141" s="317">
        <v>0.5</v>
      </c>
      <c r="U141" s="318">
        <v>0.5</v>
      </c>
      <c r="V141" s="664" t="s">
        <v>310</v>
      </c>
      <c r="W141" s="8"/>
      <c r="X141" s="426"/>
      <c r="Y141" s="44"/>
      <c r="Z141" s="427"/>
      <c r="AA141" s="42"/>
      <c r="AB141" s="42"/>
      <c r="AC141" s="1055">
        <v>1</v>
      </c>
      <c r="AD141" s="42"/>
      <c r="AE141" s="504"/>
      <c r="AF141" s="990"/>
      <c r="AG141" s="990"/>
      <c r="AH141" s="504" t="s">
        <v>25</v>
      </c>
      <c r="AI141" s="842"/>
      <c r="AJ141" s="1014" t="s">
        <v>574</v>
      </c>
    </row>
    <row r="142" spans="1:36" s="7" customFormat="1" ht="86" customHeight="1" x14ac:dyDescent="0.2">
      <c r="C142" s="2244" t="s">
        <v>790</v>
      </c>
      <c r="D142" s="357">
        <v>42</v>
      </c>
      <c r="E142" s="181" t="s">
        <v>146</v>
      </c>
      <c r="F142" s="702" t="s">
        <v>1464</v>
      </c>
      <c r="G142" s="702" t="s">
        <v>893</v>
      </c>
      <c r="H142" s="234"/>
      <c r="I142" s="914"/>
      <c r="J142" s="190"/>
      <c r="K142" s="209"/>
      <c r="L142" s="549">
        <v>2</v>
      </c>
      <c r="M142" s="548">
        <v>3</v>
      </c>
      <c r="N142" s="794" t="s">
        <v>7</v>
      </c>
      <c r="O142" s="1531" t="s">
        <v>1221</v>
      </c>
      <c r="P142" s="308">
        <f>Test_Bible!P246</f>
        <v>4</v>
      </c>
      <c r="Q142" s="308">
        <f>Test_Bible!Q246</f>
        <v>12</v>
      </c>
      <c r="R142" s="1720" t="s">
        <v>1562</v>
      </c>
      <c r="S142" s="316">
        <v>1</v>
      </c>
      <c r="T142" s="317">
        <v>0</v>
      </c>
      <c r="U142" s="318">
        <v>0</v>
      </c>
      <c r="V142" s="664" t="s">
        <v>310</v>
      </c>
      <c r="W142" s="8"/>
      <c r="X142" s="426"/>
      <c r="Y142" s="414"/>
      <c r="Z142" s="427"/>
      <c r="AA142" s="42"/>
      <c r="AB142" s="42"/>
      <c r="AC142" s="1055">
        <v>1</v>
      </c>
      <c r="AD142" s="42"/>
      <c r="AE142" s="994"/>
      <c r="AF142" s="995"/>
      <c r="AG142" s="995"/>
      <c r="AH142" s="504" t="s">
        <v>25</v>
      </c>
      <c r="AI142" s="842"/>
      <c r="AJ142" s="1014" t="s">
        <v>574</v>
      </c>
    </row>
    <row r="143" spans="1:36" s="7" customFormat="1" ht="65" customHeight="1" x14ac:dyDescent="0.2">
      <c r="A143" s="700" t="s">
        <v>695</v>
      </c>
      <c r="D143" s="357">
        <v>67</v>
      </c>
      <c r="E143" s="181" t="s">
        <v>147</v>
      </c>
      <c r="F143" s="702" t="s">
        <v>1465</v>
      </c>
      <c r="G143" s="702" t="s">
        <v>894</v>
      </c>
      <c r="H143" s="234"/>
      <c r="I143" s="925"/>
      <c r="J143" s="415"/>
      <c r="K143" s="209"/>
      <c r="L143" s="549">
        <v>2</v>
      </c>
      <c r="M143" s="549"/>
      <c r="N143" s="794" t="s">
        <v>7</v>
      </c>
      <c r="O143" s="1531" t="s">
        <v>1221</v>
      </c>
      <c r="P143" s="308">
        <f>Test_Bible!P247</f>
        <v>0</v>
      </c>
      <c r="Q143" s="308">
        <f>Test_Bible!Q247</f>
        <v>0</v>
      </c>
      <c r="R143" s="1720" t="s">
        <v>1563</v>
      </c>
      <c r="S143" s="316">
        <v>0</v>
      </c>
      <c r="T143" s="317">
        <v>0</v>
      </c>
      <c r="U143" s="318">
        <v>1</v>
      </c>
      <c r="V143" s="695" t="s">
        <v>2321</v>
      </c>
      <c r="W143" s="8"/>
      <c r="X143" s="426"/>
      <c r="Y143" s="44"/>
      <c r="Z143" s="427"/>
      <c r="AA143" s="42"/>
      <c r="AB143" s="42"/>
      <c r="AC143" s="42"/>
      <c r="AD143" s="1055">
        <v>1</v>
      </c>
      <c r="AE143" s="504"/>
      <c r="AF143" s="990"/>
      <c r="AG143" s="990"/>
      <c r="AH143" s="994"/>
      <c r="AI143" s="842"/>
      <c r="AJ143" s="844"/>
    </row>
    <row r="144" spans="1:36" s="7" customFormat="1" ht="100" customHeight="1" x14ac:dyDescent="0.2">
      <c r="C144" s="775" t="s">
        <v>1282</v>
      </c>
      <c r="D144" s="357">
        <v>41</v>
      </c>
      <c r="E144" s="181" t="s">
        <v>149</v>
      </c>
      <c r="F144" s="702" t="s">
        <v>1466</v>
      </c>
      <c r="G144" s="702" t="s">
        <v>895</v>
      </c>
      <c r="H144" s="234"/>
      <c r="I144" s="914"/>
      <c r="J144" s="190"/>
      <c r="K144" s="209">
        <v>2</v>
      </c>
      <c r="L144" s="549">
        <v>2</v>
      </c>
      <c r="M144" s="548">
        <v>3</v>
      </c>
      <c r="N144" s="794" t="s">
        <v>3</v>
      </c>
      <c r="O144" s="272" t="s">
        <v>1113</v>
      </c>
      <c r="P144" s="308">
        <f>Test_Bible!P248</f>
        <v>4</v>
      </c>
      <c r="Q144" s="308">
        <f>Test_Bible!Q248</f>
        <v>8</v>
      </c>
      <c r="R144" s="311" t="s">
        <v>1546</v>
      </c>
      <c r="S144" s="316">
        <v>0</v>
      </c>
      <c r="T144" s="317">
        <v>0</v>
      </c>
      <c r="U144" s="318">
        <v>1</v>
      </c>
      <c r="V144" s="695" t="s">
        <v>2321</v>
      </c>
      <c r="W144" s="8"/>
      <c r="X144" s="426"/>
      <c r="Y144" s="44"/>
      <c r="Z144" s="427"/>
      <c r="AA144" s="42"/>
      <c r="AB144" s="42"/>
      <c r="AC144" s="42"/>
      <c r="AD144" s="1055">
        <v>1</v>
      </c>
      <c r="AE144" s="994"/>
      <c r="AF144" s="995"/>
      <c r="AG144" s="995"/>
      <c r="AH144" s="994"/>
      <c r="AI144" s="842"/>
      <c r="AJ144" s="844"/>
    </row>
    <row r="145" spans="1:98" s="7" customFormat="1" ht="75" customHeight="1" x14ac:dyDescent="0.2">
      <c r="A145" s="700" t="s">
        <v>739</v>
      </c>
      <c r="D145" s="357">
        <v>46</v>
      </c>
      <c r="E145" s="181" t="s">
        <v>150</v>
      </c>
      <c r="F145" s="702" t="s">
        <v>1467</v>
      </c>
      <c r="G145" s="702" t="s">
        <v>896</v>
      </c>
      <c r="H145" s="234"/>
      <c r="I145" s="925"/>
      <c r="J145" s="415"/>
      <c r="K145" s="209"/>
      <c r="L145" s="548">
        <v>3</v>
      </c>
      <c r="M145" s="548"/>
      <c r="N145" s="794" t="s">
        <v>3</v>
      </c>
      <c r="O145" s="272" t="s">
        <v>1113</v>
      </c>
      <c r="P145" s="308">
        <f>Test_Bible!P249</f>
        <v>0</v>
      </c>
      <c r="Q145" s="308">
        <f>Test_Bible!Q249</f>
        <v>0</v>
      </c>
      <c r="R145" s="311" t="s">
        <v>1539</v>
      </c>
      <c r="S145" s="316">
        <v>0.5</v>
      </c>
      <c r="T145" s="317">
        <v>0.5</v>
      </c>
      <c r="U145" s="318">
        <v>0</v>
      </c>
      <c r="V145" s="695" t="s">
        <v>2321</v>
      </c>
      <c r="W145" s="8"/>
      <c r="X145" s="426"/>
      <c r="Y145" s="44"/>
      <c r="Z145" s="427"/>
      <c r="AA145" s="42"/>
      <c r="AB145" s="42"/>
      <c r="AC145" s="42"/>
      <c r="AD145" s="1055">
        <v>1</v>
      </c>
      <c r="AE145" s="994"/>
      <c r="AF145" s="995"/>
      <c r="AG145" s="995"/>
      <c r="AH145" s="994"/>
      <c r="AI145" s="842"/>
      <c r="AJ145" s="844"/>
    </row>
    <row r="146" spans="1:98" s="7" customFormat="1" ht="120" x14ac:dyDescent="0.2">
      <c r="A146" s="700" t="s">
        <v>739</v>
      </c>
      <c r="D146" s="357">
        <v>51</v>
      </c>
      <c r="E146" s="181" t="s">
        <v>151</v>
      </c>
      <c r="F146" s="702" t="s">
        <v>1468</v>
      </c>
      <c r="G146" s="702" t="s">
        <v>897</v>
      </c>
      <c r="H146" s="236"/>
      <c r="I146" s="917"/>
      <c r="J146" s="190"/>
      <c r="K146" s="209"/>
      <c r="L146" s="575">
        <v>3</v>
      </c>
      <c r="M146" s="565"/>
      <c r="N146" s="794" t="s">
        <v>7</v>
      </c>
      <c r="O146" s="1531" t="s">
        <v>1221</v>
      </c>
      <c r="P146" s="307">
        <f>Test_Bible!P234</f>
        <v>7</v>
      </c>
      <c r="Q146" s="308">
        <f>Test_Bible!Q234</f>
        <v>21</v>
      </c>
      <c r="R146" s="1576" t="s">
        <v>1576</v>
      </c>
      <c r="S146" s="316">
        <v>0</v>
      </c>
      <c r="T146" s="317">
        <v>0.5</v>
      </c>
      <c r="U146" s="318">
        <v>0.5</v>
      </c>
      <c r="V146" s="652" t="s">
        <v>2319</v>
      </c>
      <c r="W146" s="8"/>
      <c r="X146" s="426"/>
      <c r="Y146" s="1056">
        <v>1</v>
      </c>
      <c r="Z146" s="427"/>
      <c r="AA146" s="42"/>
      <c r="AB146" s="42"/>
      <c r="AC146" s="42"/>
      <c r="AD146" s="42"/>
      <c r="AE146" s="504"/>
      <c r="AF146" s="997"/>
      <c r="AG146" s="997"/>
      <c r="AH146" s="504" t="s">
        <v>25</v>
      </c>
      <c r="AI146" s="842"/>
      <c r="AJ146" s="997" t="s">
        <v>543</v>
      </c>
    </row>
    <row r="147" spans="1:98" ht="176" customHeight="1" x14ac:dyDescent="0.2">
      <c r="A147" s="700" t="s">
        <v>739</v>
      </c>
      <c r="D147" s="357">
        <v>6</v>
      </c>
      <c r="E147" s="117" t="s">
        <v>152</v>
      </c>
      <c r="F147" s="867" t="s">
        <v>1469</v>
      </c>
      <c r="G147" s="702" t="s">
        <v>898</v>
      </c>
      <c r="H147" s="380" t="s">
        <v>1175</v>
      </c>
      <c r="I147" s="926"/>
      <c r="J147" s="415"/>
      <c r="K147" s="181"/>
      <c r="L147" s="466"/>
      <c r="M147" s="466"/>
      <c r="N147" s="794" t="s">
        <v>51</v>
      </c>
      <c r="O147" s="604" t="s">
        <v>390</v>
      </c>
      <c r="P147" s="320"/>
      <c r="Q147" s="320"/>
      <c r="R147" s="320"/>
      <c r="S147" s="315" t="s">
        <v>34</v>
      </c>
      <c r="T147" s="339" t="s">
        <v>34</v>
      </c>
      <c r="U147" s="342" t="s">
        <v>34</v>
      </c>
      <c r="V147" s="696" t="s">
        <v>35</v>
      </c>
      <c r="W147" s="8"/>
      <c r="X147" s="426"/>
      <c r="Z147" s="428"/>
      <c r="AE147" s="504" t="s">
        <v>24</v>
      </c>
      <c r="AH147" s="504" t="s">
        <v>25</v>
      </c>
      <c r="AI147" s="263"/>
      <c r="AJ147" s="263" t="s">
        <v>517</v>
      </c>
    </row>
    <row r="148" spans="1:98" s="107" customFormat="1" ht="37" customHeight="1" x14ac:dyDescent="0.2">
      <c r="A148" s="7"/>
      <c r="B148" s="7"/>
      <c r="C148" s="7"/>
      <c r="D148" s="211"/>
      <c r="E148" s="869"/>
      <c r="F148" s="870"/>
      <c r="G148" s="871"/>
      <c r="H148" s="872"/>
      <c r="I148" s="872"/>
      <c r="J148" s="873"/>
      <c r="K148" s="873"/>
      <c r="L148" s="873"/>
      <c r="M148" s="873"/>
      <c r="N148" s="874"/>
      <c r="O148" s="1523"/>
      <c r="P148" s="874"/>
      <c r="Q148" s="875">
        <f>SUM(Q81:Q147)</f>
        <v>560</v>
      </c>
      <c r="R148" s="875"/>
      <c r="S148" s="876" t="s">
        <v>29</v>
      </c>
      <c r="T148" s="877" t="s">
        <v>30</v>
      </c>
      <c r="U148" s="877" t="s">
        <v>31</v>
      </c>
      <c r="V148" s="878"/>
      <c r="W148" s="8"/>
      <c r="X148" s="8"/>
      <c r="Y148" s="423"/>
      <c r="Z148" s="427"/>
      <c r="AA148" s="42"/>
      <c r="AB148" s="42"/>
      <c r="AC148" s="42"/>
      <c r="AD148" s="42"/>
      <c r="AE148" s="1027"/>
      <c r="AF148" s="1018"/>
      <c r="AG148" s="1018"/>
      <c r="AH148" s="1019"/>
      <c r="AI148" s="1020"/>
      <c r="AJ148" s="1021"/>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x14ac:dyDescent="0.25">
      <c r="A149" s="56"/>
      <c r="B149" s="56"/>
      <c r="C149" s="56"/>
      <c r="D149" s="879"/>
      <c r="E149" s="324"/>
      <c r="F149" s="325"/>
      <c r="G149" s="324"/>
      <c r="H149" s="880"/>
      <c r="I149" s="927"/>
      <c r="J149" s="881"/>
      <c r="K149" s="882"/>
      <c r="L149" s="883"/>
      <c r="M149" s="884"/>
      <c r="N149" s="326"/>
      <c r="O149" s="325"/>
      <c r="P149" s="885"/>
      <c r="Q149" s="885"/>
      <c r="R149" s="885"/>
      <c r="S149" s="886"/>
      <c r="T149" s="887"/>
      <c r="U149" s="888"/>
      <c r="V149" s="329"/>
      <c r="W149" s="421"/>
      <c r="X149" s="421"/>
      <c r="Y149" s="5"/>
      <c r="Z149" s="868"/>
      <c r="AE149" s="1028"/>
      <c r="AF149" s="1029"/>
      <c r="AG149" s="995"/>
      <c r="AH149" s="504"/>
      <c r="AJ149" s="504"/>
    </row>
    <row r="150" spans="1:98" ht="40" customHeight="1" x14ac:dyDescent="0.2">
      <c r="D150" s="148" t="s">
        <v>154</v>
      </c>
      <c r="E150" s="381"/>
      <c r="F150" s="538"/>
      <c r="G150" s="512"/>
      <c r="H150" s="382"/>
      <c r="I150" s="928"/>
      <c r="J150" s="383"/>
      <c r="K150" s="384"/>
      <c r="L150" s="554"/>
      <c r="M150" s="567"/>
      <c r="N150" s="799"/>
      <c r="O150" s="1524"/>
      <c r="P150" s="385"/>
      <c r="Q150" s="385"/>
      <c r="R150" s="385"/>
      <c r="S150" s="334"/>
      <c r="T150" s="337"/>
      <c r="U150" s="338"/>
      <c r="V150" s="659"/>
      <c r="W150" s="422"/>
      <c r="X150" s="422"/>
      <c r="Y150" s="43"/>
      <c r="Z150" s="428"/>
      <c r="AE150" s="1030"/>
      <c r="AF150" s="1031"/>
      <c r="AG150" s="1031"/>
      <c r="AH150" s="1030"/>
      <c r="AI150" s="1032"/>
      <c r="AJ150" s="1033"/>
    </row>
    <row r="151" spans="1:98" ht="53" customHeight="1" x14ac:dyDescent="0.2">
      <c r="D151" s="1273">
        <v>0</v>
      </c>
      <c r="E151" s="165" t="s">
        <v>155</v>
      </c>
      <c r="F151" s="77" t="s">
        <v>1378</v>
      </c>
      <c r="G151" s="889" t="s">
        <v>899</v>
      </c>
      <c r="H151" s="243"/>
      <c r="I151" s="929"/>
      <c r="J151" s="108" t="s">
        <v>1305</v>
      </c>
      <c r="K151" s="200"/>
      <c r="L151" s="555">
        <v>1</v>
      </c>
      <c r="M151" s="555"/>
      <c r="N151" s="794" t="s">
        <v>386</v>
      </c>
      <c r="O151" s="787" t="s">
        <v>1157</v>
      </c>
      <c r="P151" s="309">
        <f>Test_Bible!P263</f>
        <v>9</v>
      </c>
      <c r="Q151" s="309">
        <f>Test_Bible!Q263</f>
        <v>9</v>
      </c>
      <c r="R151" s="309"/>
      <c r="S151" s="315" t="s">
        <v>34</v>
      </c>
      <c r="T151" s="339" t="s">
        <v>34</v>
      </c>
      <c r="U151" s="342" t="s">
        <v>34</v>
      </c>
      <c r="V151" s="660" t="s">
        <v>55</v>
      </c>
      <c r="W151" s="8"/>
      <c r="X151" s="426"/>
      <c r="Y151" s="423"/>
      <c r="Z151" s="428"/>
      <c r="AE151" s="1007" t="s">
        <v>67</v>
      </c>
      <c r="AF151" s="1008"/>
      <c r="AG151" s="1008"/>
      <c r="AH151" s="1007" t="s">
        <v>67</v>
      </c>
      <c r="AI151" s="1009"/>
      <c r="AJ151" s="1010"/>
    </row>
    <row r="152" spans="1:98" ht="49" customHeight="1" x14ac:dyDescent="0.2">
      <c r="D152" s="1273">
        <v>1</v>
      </c>
      <c r="E152" s="286" t="s">
        <v>156</v>
      </c>
      <c r="F152" s="77" t="s">
        <v>1379</v>
      </c>
      <c r="G152" s="890" t="s">
        <v>900</v>
      </c>
      <c r="H152" s="244"/>
      <c r="I152" s="930"/>
      <c r="J152" s="108" t="s">
        <v>1305</v>
      </c>
      <c r="K152" s="200">
        <v>6</v>
      </c>
      <c r="L152" s="555">
        <v>1</v>
      </c>
      <c r="M152" s="555"/>
      <c r="N152" s="794" t="s">
        <v>386</v>
      </c>
      <c r="O152" s="787" t="s">
        <v>1157</v>
      </c>
      <c r="P152" s="309">
        <f>Test_Bible!P264</f>
        <v>5</v>
      </c>
      <c r="Q152" s="309">
        <f>Test_Bible!Q264</f>
        <v>5</v>
      </c>
      <c r="R152" s="309"/>
      <c r="S152" s="315" t="s">
        <v>34</v>
      </c>
      <c r="T152" s="339" t="s">
        <v>34</v>
      </c>
      <c r="U152" s="342" t="s">
        <v>34</v>
      </c>
      <c r="V152" s="661" t="s">
        <v>55</v>
      </c>
      <c r="W152" s="8"/>
      <c r="X152" s="426"/>
      <c r="Z152" s="428"/>
      <c r="AE152" s="504" t="s">
        <v>24</v>
      </c>
      <c r="AH152" s="994"/>
      <c r="AI152" s="842"/>
      <c r="AJ152" s="844"/>
    </row>
    <row r="153" spans="1:98" ht="58" customHeight="1" x14ac:dyDescent="0.2">
      <c r="B153" s="99" t="s">
        <v>726</v>
      </c>
      <c r="D153" s="1273">
        <v>2</v>
      </c>
      <c r="E153" s="167" t="s">
        <v>312</v>
      </c>
      <c r="F153" s="274" t="s">
        <v>1380</v>
      </c>
      <c r="G153" s="891" t="s">
        <v>901</v>
      </c>
      <c r="H153" s="241"/>
      <c r="I153" s="931"/>
      <c r="J153" s="108" t="s">
        <v>1305</v>
      </c>
      <c r="K153" s="215"/>
      <c r="L153" s="555">
        <v>1</v>
      </c>
      <c r="M153" s="555"/>
      <c r="N153" s="794" t="s">
        <v>386</v>
      </c>
      <c r="O153" s="787" t="s">
        <v>1157</v>
      </c>
      <c r="P153" s="309">
        <f>Test_Bible!P265</f>
        <v>0</v>
      </c>
      <c r="Q153" s="309">
        <f>Test_Bible!Q265</f>
        <v>0</v>
      </c>
      <c r="R153" s="309"/>
      <c r="S153" s="315" t="s">
        <v>34</v>
      </c>
      <c r="T153" s="339" t="s">
        <v>34</v>
      </c>
      <c r="U153" s="342" t="s">
        <v>34</v>
      </c>
      <c r="V153" s="662" t="s">
        <v>55</v>
      </c>
      <c r="W153" s="8"/>
      <c r="X153" s="426"/>
      <c r="Y153" s="423"/>
      <c r="Z153" s="428"/>
      <c r="AE153" s="1003" t="s">
        <v>24</v>
      </c>
      <c r="AF153" s="1012" t="s">
        <v>561</v>
      </c>
      <c r="AG153" s="1004"/>
      <c r="AH153" s="1007" t="s">
        <v>67</v>
      </c>
      <c r="AI153" s="1009"/>
      <c r="AJ153" s="1010"/>
    </row>
    <row r="154" spans="1:98" ht="70" customHeight="1" x14ac:dyDescent="0.25">
      <c r="C154" s="775" t="s">
        <v>1283</v>
      </c>
      <c r="D154" s="1273">
        <v>20</v>
      </c>
      <c r="E154" s="166" t="s">
        <v>313</v>
      </c>
      <c r="F154" s="77" t="s">
        <v>1381</v>
      </c>
      <c r="G154" s="889" t="s">
        <v>902</v>
      </c>
      <c r="H154" s="245"/>
      <c r="I154" s="932"/>
      <c r="J154" s="123"/>
      <c r="K154" s="213">
        <v>4</v>
      </c>
      <c r="L154" s="541">
        <v>1</v>
      </c>
      <c r="M154" s="569">
        <v>2</v>
      </c>
      <c r="N154" s="794" t="s">
        <v>3</v>
      </c>
      <c r="O154" s="272" t="s">
        <v>1113</v>
      </c>
      <c r="P154" s="310">
        <f>Test_Bible!P267</f>
        <v>2</v>
      </c>
      <c r="Q154" s="310">
        <f>Test_Bible!Q267</f>
        <v>2</v>
      </c>
      <c r="R154" s="310" t="s">
        <v>1591</v>
      </c>
      <c r="S154" s="319">
        <v>0.5</v>
      </c>
      <c r="T154" s="339">
        <v>0.5</v>
      </c>
      <c r="U154" s="340">
        <v>0</v>
      </c>
      <c r="V154" s="662" t="s">
        <v>55</v>
      </c>
      <c r="W154" s="6">
        <v>1</v>
      </c>
      <c r="X154" s="426"/>
      <c r="Y154" s="423"/>
      <c r="Z154" s="428"/>
      <c r="AE154" s="504" t="s">
        <v>24</v>
      </c>
      <c r="AF154" s="997" t="s">
        <v>541</v>
      </c>
      <c r="AG154" s="997"/>
      <c r="AH154" s="1003" t="s">
        <v>25</v>
      </c>
      <c r="AI154" s="1005"/>
      <c r="AJ154" s="1006"/>
    </row>
    <row r="155" spans="1:98" ht="69" customHeight="1" x14ac:dyDescent="0.2">
      <c r="A155" s="1139"/>
      <c r="B155" s="99" t="s">
        <v>727</v>
      </c>
      <c r="C155" s="25"/>
      <c r="D155" s="1273">
        <v>21</v>
      </c>
      <c r="E155" s="167" t="s">
        <v>157</v>
      </c>
      <c r="F155" s="274" t="s">
        <v>1382</v>
      </c>
      <c r="G155" s="891" t="s">
        <v>903</v>
      </c>
      <c r="H155" s="246"/>
      <c r="I155" s="933"/>
      <c r="J155" s="124"/>
      <c r="K155" s="214"/>
      <c r="L155" s="549">
        <v>2</v>
      </c>
      <c r="M155" s="549"/>
      <c r="N155" s="794" t="s">
        <v>7</v>
      </c>
      <c r="O155" s="1531" t="s">
        <v>1221</v>
      </c>
      <c r="P155" s="310">
        <f>Test_Bible!P268</f>
        <v>0</v>
      </c>
      <c r="Q155" s="310">
        <f>Test_Bible!Q268</f>
        <v>0</v>
      </c>
      <c r="R155" s="310" t="s">
        <v>1592</v>
      </c>
      <c r="S155" s="319">
        <v>0.5</v>
      </c>
      <c r="T155" s="339">
        <v>0.5</v>
      </c>
      <c r="U155" s="340">
        <v>0</v>
      </c>
      <c r="V155" s="662" t="s">
        <v>55</v>
      </c>
      <c r="W155" s="6">
        <v>1</v>
      </c>
      <c r="X155" s="426"/>
      <c r="Y155" s="423"/>
      <c r="Z155" s="428"/>
      <c r="AE155" s="1007" t="s">
        <v>67</v>
      </c>
      <c r="AF155" s="1008"/>
      <c r="AG155" s="1008"/>
      <c r="AH155" s="1007" t="s">
        <v>67</v>
      </c>
      <c r="AI155" s="1009"/>
      <c r="AJ155" s="1010"/>
    </row>
    <row r="156" spans="1:98" ht="68" customHeight="1" x14ac:dyDescent="0.2">
      <c r="A156" s="174" t="s">
        <v>1290</v>
      </c>
      <c r="B156" s="1504"/>
      <c r="D156" s="1273">
        <v>52</v>
      </c>
      <c r="E156" s="166" t="s">
        <v>158</v>
      </c>
      <c r="F156" s="77" t="s">
        <v>1383</v>
      </c>
      <c r="G156" s="889" t="s">
        <v>904</v>
      </c>
      <c r="H156" s="245"/>
      <c r="I156" s="932"/>
      <c r="J156" s="123"/>
      <c r="K156" s="213">
        <v>4</v>
      </c>
      <c r="L156" s="549">
        <v>2</v>
      </c>
      <c r="M156" s="549"/>
      <c r="N156" s="794" t="s">
        <v>3</v>
      </c>
      <c r="O156" s="272" t="s">
        <v>1113</v>
      </c>
      <c r="P156" s="310">
        <f>Test_Bible!P269</f>
        <v>0</v>
      </c>
      <c r="Q156" s="310">
        <f>Test_Bible!Q269</f>
        <v>0</v>
      </c>
      <c r="R156" s="310" t="s">
        <v>2040</v>
      </c>
      <c r="S156" s="319">
        <v>0.5</v>
      </c>
      <c r="T156" s="339">
        <v>0.5</v>
      </c>
      <c r="U156" s="340">
        <v>0</v>
      </c>
      <c r="V156" s="662" t="s">
        <v>55</v>
      </c>
      <c r="W156" s="6">
        <v>1</v>
      </c>
      <c r="X156" s="426"/>
      <c r="Y156" s="423"/>
      <c r="Z156" s="428"/>
      <c r="AE156" s="1007" t="s">
        <v>67</v>
      </c>
      <c r="AF156" s="1008"/>
      <c r="AG156" s="1008"/>
      <c r="AH156" s="1007" t="s">
        <v>67</v>
      </c>
      <c r="AI156" s="1009"/>
      <c r="AJ156" s="1010"/>
    </row>
    <row r="157" spans="1:98" ht="82" customHeight="1" x14ac:dyDescent="0.2">
      <c r="B157" s="99" t="s">
        <v>728</v>
      </c>
      <c r="D157" s="1273">
        <v>53</v>
      </c>
      <c r="E157" s="167" t="s">
        <v>159</v>
      </c>
      <c r="F157" s="274" t="s">
        <v>1384</v>
      </c>
      <c r="G157" s="891" t="s">
        <v>905</v>
      </c>
      <c r="H157" s="241"/>
      <c r="I157" s="931"/>
      <c r="J157" s="124"/>
      <c r="K157" s="214">
        <v>4</v>
      </c>
      <c r="L157" s="548">
        <v>3</v>
      </c>
      <c r="M157" s="548"/>
      <c r="N157" s="794" t="s">
        <v>3</v>
      </c>
      <c r="O157" s="272" t="s">
        <v>1113</v>
      </c>
      <c r="P157" s="310">
        <f>Test_Bible!P270</f>
        <v>0</v>
      </c>
      <c r="Q157" s="310">
        <f>Test_Bible!Q270</f>
        <v>0</v>
      </c>
      <c r="R157" s="310" t="s">
        <v>2041</v>
      </c>
      <c r="S157" s="319">
        <v>0</v>
      </c>
      <c r="T157" s="339">
        <v>1</v>
      </c>
      <c r="U157" s="340">
        <v>0</v>
      </c>
      <c r="V157" s="662" t="s">
        <v>55</v>
      </c>
      <c r="W157" s="6">
        <v>1</v>
      </c>
      <c r="X157" s="426"/>
      <c r="Y157" s="423"/>
      <c r="Z157" s="428"/>
      <c r="AE157" s="1007" t="s">
        <v>67</v>
      </c>
      <c r="AF157" s="1008"/>
      <c r="AG157" s="1008"/>
      <c r="AH157" s="1007" t="s">
        <v>67</v>
      </c>
      <c r="AI157" s="1009"/>
      <c r="AJ157" s="1010"/>
    </row>
    <row r="158" spans="1:98" ht="60" customHeight="1" x14ac:dyDescent="0.2">
      <c r="B158" s="99" t="s">
        <v>1372</v>
      </c>
      <c r="D158" s="1273">
        <v>54</v>
      </c>
      <c r="E158" s="168" t="s">
        <v>1371</v>
      </c>
      <c r="F158" s="698" t="s">
        <v>1385</v>
      </c>
      <c r="G158" s="697" t="s">
        <v>946</v>
      </c>
      <c r="H158" s="249"/>
      <c r="I158" s="935"/>
      <c r="J158" s="146"/>
      <c r="K158" s="171"/>
      <c r="L158" s="548">
        <v>3</v>
      </c>
      <c r="M158" s="548"/>
      <c r="N158" s="794" t="s">
        <v>3</v>
      </c>
      <c r="O158" s="272" t="s">
        <v>1113</v>
      </c>
      <c r="P158" s="310">
        <f>Test_Bible!P271</f>
        <v>0</v>
      </c>
      <c r="Q158" s="310">
        <f>Test_Bible!Q271</f>
        <v>0</v>
      </c>
      <c r="R158" s="310" t="s">
        <v>1594</v>
      </c>
      <c r="S158" s="315">
        <v>0.5</v>
      </c>
      <c r="T158" s="341">
        <v>0.5</v>
      </c>
      <c r="U158" s="342">
        <v>0</v>
      </c>
      <c r="V158" s="665" t="s">
        <v>2321</v>
      </c>
      <c r="W158" s="8"/>
      <c r="X158" s="426"/>
      <c r="Y158" s="423"/>
      <c r="Z158" s="428"/>
      <c r="AD158" s="1052">
        <v>1</v>
      </c>
      <c r="AE158" s="1007" t="s">
        <v>67</v>
      </c>
      <c r="AF158" s="1008"/>
      <c r="AG158" s="1008"/>
      <c r="AH158" s="1007" t="s">
        <v>67</v>
      </c>
      <c r="AI158" s="1009"/>
      <c r="AJ158" s="1010"/>
    </row>
    <row r="159" spans="1:98" ht="69" customHeight="1" x14ac:dyDescent="0.2">
      <c r="D159" s="1273">
        <v>29</v>
      </c>
      <c r="E159" s="166" t="s">
        <v>160</v>
      </c>
      <c r="F159" s="77" t="s">
        <v>1386</v>
      </c>
      <c r="G159" s="889" t="s">
        <v>906</v>
      </c>
      <c r="H159" s="247"/>
      <c r="I159" s="934"/>
      <c r="J159" s="123"/>
      <c r="K159" s="213">
        <v>4</v>
      </c>
      <c r="L159" s="549">
        <v>2</v>
      </c>
      <c r="M159" s="549"/>
      <c r="N159" s="794" t="s">
        <v>3</v>
      </c>
      <c r="O159" s="272" t="s">
        <v>1113</v>
      </c>
      <c r="P159" s="310">
        <f>Test_Bible!P272</f>
        <v>2</v>
      </c>
      <c r="Q159" s="310">
        <f>Test_Bible!Q272</f>
        <v>4</v>
      </c>
      <c r="R159" s="310" t="s">
        <v>1593</v>
      </c>
      <c r="S159" s="319">
        <v>0</v>
      </c>
      <c r="T159" s="339">
        <v>0</v>
      </c>
      <c r="U159" s="340">
        <v>1</v>
      </c>
      <c r="V159" s="662" t="s">
        <v>55</v>
      </c>
      <c r="W159" s="6">
        <v>1</v>
      </c>
      <c r="X159" s="426"/>
      <c r="Z159" s="428"/>
      <c r="AE159" s="1007" t="s">
        <v>67</v>
      </c>
      <c r="AF159" s="1008"/>
      <c r="AG159" s="1008"/>
      <c r="AH159" s="1007" t="s">
        <v>67</v>
      </c>
      <c r="AI159" s="1009"/>
      <c r="AJ159" s="1010"/>
    </row>
    <row r="160" spans="1:98" ht="105" customHeight="1" x14ac:dyDescent="0.2">
      <c r="B160" s="99" t="s">
        <v>729</v>
      </c>
      <c r="D160" s="1273">
        <v>30</v>
      </c>
      <c r="E160" s="167" t="s">
        <v>161</v>
      </c>
      <c r="F160" s="274" t="s">
        <v>1387</v>
      </c>
      <c r="G160" s="863" t="s">
        <v>907</v>
      </c>
      <c r="H160" s="1626" t="s">
        <v>382</v>
      </c>
      <c r="I160" s="905"/>
      <c r="J160" s="124"/>
      <c r="K160" s="214"/>
      <c r="L160" s="549"/>
      <c r="M160" s="549"/>
      <c r="N160" s="794" t="s">
        <v>164</v>
      </c>
      <c r="O160" s="604" t="s">
        <v>391</v>
      </c>
      <c r="P160" s="300"/>
      <c r="Q160" s="300"/>
      <c r="R160" s="300"/>
      <c r="S160" s="315" t="s">
        <v>34</v>
      </c>
      <c r="T160" s="339" t="s">
        <v>34</v>
      </c>
      <c r="U160" s="342" t="s">
        <v>34</v>
      </c>
      <c r="V160" s="662" t="s">
        <v>55</v>
      </c>
      <c r="W160" s="6">
        <v>1</v>
      </c>
      <c r="X160" s="426"/>
      <c r="Y160" s="414"/>
      <c r="Z160" s="427"/>
      <c r="AE160" s="1007" t="s">
        <v>67</v>
      </c>
      <c r="AF160" s="1008"/>
      <c r="AG160" s="1008"/>
      <c r="AH160" s="1007" t="s">
        <v>67</v>
      </c>
      <c r="AI160" s="1009"/>
      <c r="AJ160" s="1010"/>
    </row>
    <row r="161" spans="1:36" ht="91" customHeight="1" x14ac:dyDescent="0.2">
      <c r="C161" s="775" t="s">
        <v>1284</v>
      </c>
      <c r="D161" s="1273">
        <v>31</v>
      </c>
      <c r="E161" s="166" t="s">
        <v>162</v>
      </c>
      <c r="F161" s="77" t="s">
        <v>1388</v>
      </c>
      <c r="G161" s="889" t="s">
        <v>908</v>
      </c>
      <c r="H161" s="247"/>
      <c r="I161" s="934"/>
      <c r="J161" s="123"/>
      <c r="K161" s="213">
        <v>4</v>
      </c>
      <c r="L161" s="541">
        <v>1</v>
      </c>
      <c r="M161" s="569">
        <v>2</v>
      </c>
      <c r="N161" s="794" t="s">
        <v>3</v>
      </c>
      <c r="O161" s="272" t="s">
        <v>1113</v>
      </c>
      <c r="P161" s="310">
        <f>Test_Bible!P278</f>
        <v>1</v>
      </c>
      <c r="Q161" s="310">
        <f>Test_Bible!Q278</f>
        <v>1</v>
      </c>
      <c r="R161" s="310" t="s">
        <v>1631</v>
      </c>
      <c r="S161" s="319">
        <v>0</v>
      </c>
      <c r="T161" s="341">
        <v>0.5</v>
      </c>
      <c r="U161" s="342">
        <v>0.5</v>
      </c>
      <c r="V161" s="663" t="s">
        <v>2318</v>
      </c>
      <c r="W161" s="8"/>
      <c r="X161" s="1053">
        <v>1</v>
      </c>
      <c r="Y161" s="423"/>
      <c r="Z161" s="428"/>
      <c r="AE161" s="1003" t="s">
        <v>24</v>
      </c>
      <c r="AF161" s="1012" t="s">
        <v>582</v>
      </c>
      <c r="AG161" s="1012"/>
      <c r="AH161" s="1003" t="s">
        <v>25</v>
      </c>
      <c r="AI161" s="1005"/>
      <c r="AJ161" s="1012" t="s">
        <v>583</v>
      </c>
    </row>
    <row r="162" spans="1:36" ht="74" customHeight="1" x14ac:dyDescent="0.2">
      <c r="B162" s="99" t="s">
        <v>1285</v>
      </c>
      <c r="D162" s="1273">
        <v>32</v>
      </c>
      <c r="E162" s="167" t="s">
        <v>163</v>
      </c>
      <c r="F162" s="274" t="s">
        <v>1389</v>
      </c>
      <c r="G162" s="891" t="s">
        <v>909</v>
      </c>
      <c r="H162" s="241"/>
      <c r="I162" s="931"/>
      <c r="J162" s="124" t="s">
        <v>50</v>
      </c>
      <c r="K162" s="214">
        <v>4</v>
      </c>
      <c r="L162" s="548">
        <v>3</v>
      </c>
      <c r="M162" s="548"/>
      <c r="N162" s="794" t="s">
        <v>7</v>
      </c>
      <c r="O162" s="1531" t="s">
        <v>1221</v>
      </c>
      <c r="P162" s="310">
        <f>Test_Bible!P279</f>
        <v>0</v>
      </c>
      <c r="Q162" s="310">
        <f>Test_Bible!Q279</f>
        <v>0</v>
      </c>
      <c r="R162" s="310" t="s">
        <v>1595</v>
      </c>
      <c r="S162" s="319">
        <v>0</v>
      </c>
      <c r="T162" s="339">
        <v>1</v>
      </c>
      <c r="U162" s="340">
        <v>0</v>
      </c>
      <c r="V162" s="663" t="s">
        <v>2318</v>
      </c>
      <c r="W162" s="8"/>
      <c r="X162" s="1053">
        <v>1</v>
      </c>
      <c r="Y162" s="423"/>
      <c r="Z162" s="428"/>
      <c r="AE162" s="1003" t="s">
        <v>24</v>
      </c>
      <c r="AF162" s="1034" t="s">
        <v>584</v>
      </c>
      <c r="AG162" s="1004"/>
      <c r="AH162" s="1003" t="s">
        <v>25</v>
      </c>
      <c r="AI162" s="1005"/>
      <c r="AJ162" s="1012" t="s">
        <v>583</v>
      </c>
    </row>
    <row r="163" spans="1:36" ht="65" customHeight="1" x14ac:dyDescent="0.2">
      <c r="B163" s="99" t="s">
        <v>730</v>
      </c>
      <c r="D163" s="1273">
        <v>33</v>
      </c>
      <c r="E163" s="167" t="s">
        <v>591</v>
      </c>
      <c r="F163" s="274" t="s">
        <v>1390</v>
      </c>
      <c r="G163" s="891" t="s">
        <v>910</v>
      </c>
      <c r="H163" s="241"/>
      <c r="I163" s="931"/>
      <c r="J163" s="124" t="s">
        <v>48</v>
      </c>
      <c r="K163" s="214"/>
      <c r="L163" s="548">
        <v>3</v>
      </c>
      <c r="M163" s="548"/>
      <c r="N163" s="794" t="s">
        <v>3</v>
      </c>
      <c r="O163" s="272" t="s">
        <v>1113</v>
      </c>
      <c r="P163" s="310">
        <f>Test_Bible!P280</f>
        <v>0</v>
      </c>
      <c r="Q163" s="310">
        <f>Test_Bible!Q280</f>
        <v>0</v>
      </c>
      <c r="R163" s="310" t="s">
        <v>1596</v>
      </c>
      <c r="S163" s="319">
        <v>0</v>
      </c>
      <c r="T163" s="341">
        <v>0.5</v>
      </c>
      <c r="U163" s="342">
        <v>0.5</v>
      </c>
      <c r="V163" s="663" t="s">
        <v>2318</v>
      </c>
      <c r="W163" s="8"/>
      <c r="X163" s="1053">
        <v>1</v>
      </c>
      <c r="Y163" s="414"/>
      <c r="Z163" s="427"/>
      <c r="AE163" s="1003" t="s">
        <v>24</v>
      </c>
      <c r="AF163" s="1034" t="s">
        <v>585</v>
      </c>
      <c r="AG163" s="1008"/>
      <c r="AH163" s="1003" t="s">
        <v>25</v>
      </c>
      <c r="AI163" s="1005"/>
      <c r="AJ163" s="1012" t="s">
        <v>583</v>
      </c>
    </row>
    <row r="164" spans="1:36" ht="94" customHeight="1" x14ac:dyDescent="0.2">
      <c r="D164" s="1273">
        <v>14</v>
      </c>
      <c r="E164" s="166" t="s">
        <v>165</v>
      </c>
      <c r="F164" s="77" t="s">
        <v>1391</v>
      </c>
      <c r="G164" s="889" t="s">
        <v>911</v>
      </c>
      <c r="H164" s="247"/>
      <c r="I164" s="934"/>
      <c r="J164" s="125" t="s">
        <v>67</v>
      </c>
      <c r="K164" s="216"/>
      <c r="L164" s="541">
        <v>1</v>
      </c>
      <c r="M164" s="541"/>
      <c r="N164" s="794" t="s">
        <v>7</v>
      </c>
      <c r="O164" s="1531" t="s">
        <v>1221</v>
      </c>
      <c r="P164" s="310">
        <f>Test_Bible!P281</f>
        <v>7</v>
      </c>
      <c r="Q164" s="310">
        <f>Test_Bible!Q281</f>
        <v>7</v>
      </c>
      <c r="R164" s="310" t="s">
        <v>1597</v>
      </c>
      <c r="S164" s="319">
        <v>0</v>
      </c>
      <c r="T164" s="339">
        <v>1</v>
      </c>
      <c r="U164" s="342">
        <v>0</v>
      </c>
      <c r="V164" s="652" t="s">
        <v>2319</v>
      </c>
      <c r="W164" s="8"/>
      <c r="X164" s="426"/>
      <c r="Y164" s="1057">
        <v>1</v>
      </c>
      <c r="Z164" s="428"/>
      <c r="AE164" s="1003" t="s">
        <v>24</v>
      </c>
      <c r="AF164" s="1012" t="s">
        <v>586</v>
      </c>
      <c r="AG164" s="1012"/>
      <c r="AH164" s="1003" t="s">
        <v>25</v>
      </c>
      <c r="AI164" s="1005"/>
      <c r="AJ164" s="1035" t="s">
        <v>587</v>
      </c>
    </row>
    <row r="165" spans="1:36" ht="71" customHeight="1" x14ac:dyDescent="0.2">
      <c r="A165" s="174" t="s">
        <v>1287</v>
      </c>
      <c r="B165" s="1435"/>
      <c r="D165" s="1273">
        <v>16</v>
      </c>
      <c r="E165" s="166" t="s">
        <v>914</v>
      </c>
      <c r="F165" s="700" t="s">
        <v>1392</v>
      </c>
      <c r="G165" s="185" t="s">
        <v>915</v>
      </c>
      <c r="H165" s="247"/>
      <c r="I165" s="934"/>
      <c r="J165" s="125" t="s">
        <v>67</v>
      </c>
      <c r="K165" s="216"/>
      <c r="L165" s="541">
        <v>1</v>
      </c>
      <c r="M165" s="541"/>
      <c r="N165" s="794" t="s">
        <v>121</v>
      </c>
      <c r="O165" s="1531" t="s">
        <v>1205</v>
      </c>
      <c r="P165" s="310">
        <f>Test_Bible!P282</f>
        <v>2</v>
      </c>
      <c r="Q165" s="310">
        <f>Test_Bible!Q282</f>
        <v>2</v>
      </c>
      <c r="R165" s="310" t="s">
        <v>1598</v>
      </c>
      <c r="S165" s="319">
        <v>0</v>
      </c>
      <c r="T165" s="341">
        <v>0.5</v>
      </c>
      <c r="U165" s="342">
        <v>0.5</v>
      </c>
      <c r="V165" s="652" t="s">
        <v>2319</v>
      </c>
      <c r="W165" s="8"/>
      <c r="X165" s="426"/>
      <c r="Y165" s="1057">
        <v>1</v>
      </c>
      <c r="Z165" s="428"/>
      <c r="AE165" s="1007" t="s">
        <v>67</v>
      </c>
      <c r="AF165" s="1008"/>
      <c r="AG165" s="1008"/>
      <c r="AH165" s="1007" t="s">
        <v>67</v>
      </c>
      <c r="AI165" s="1009"/>
      <c r="AJ165" s="13" t="s">
        <v>588</v>
      </c>
    </row>
    <row r="166" spans="1:36" ht="68" customHeight="1" x14ac:dyDescent="0.2">
      <c r="D166" s="1273">
        <v>17</v>
      </c>
      <c r="E166" s="166" t="s">
        <v>166</v>
      </c>
      <c r="F166" s="700" t="s">
        <v>1393</v>
      </c>
      <c r="G166" s="185" t="s">
        <v>916</v>
      </c>
      <c r="H166" s="247"/>
      <c r="I166" s="934"/>
      <c r="J166" s="125" t="s">
        <v>67</v>
      </c>
      <c r="K166" s="216"/>
      <c r="L166" s="549">
        <v>2</v>
      </c>
      <c r="M166" s="549"/>
      <c r="N166" s="794" t="s">
        <v>3</v>
      </c>
      <c r="O166" s="272" t="s">
        <v>1113</v>
      </c>
      <c r="P166" s="310">
        <f>Test_Bible!P283</f>
        <v>2</v>
      </c>
      <c r="Q166" s="310">
        <f>Test_Bible!Q283</f>
        <v>4</v>
      </c>
      <c r="R166" s="310" t="s">
        <v>1599</v>
      </c>
      <c r="S166" s="319">
        <v>0</v>
      </c>
      <c r="T166" s="341">
        <v>0.5</v>
      </c>
      <c r="U166" s="342">
        <v>0.5</v>
      </c>
      <c r="V166" s="652" t="s">
        <v>2319</v>
      </c>
      <c r="W166" s="8"/>
      <c r="X166" s="426"/>
      <c r="Y166" s="1057">
        <v>1</v>
      </c>
      <c r="Z166" s="428"/>
      <c r="AE166" s="1003" t="s">
        <v>24</v>
      </c>
      <c r="AF166" s="1012" t="s">
        <v>589</v>
      </c>
      <c r="AG166" s="1012"/>
      <c r="AH166" s="1003" t="s">
        <v>25</v>
      </c>
      <c r="AI166" s="1009"/>
      <c r="AJ166" s="1013" t="s">
        <v>590</v>
      </c>
    </row>
    <row r="167" spans="1:36" ht="85" customHeight="1" x14ac:dyDescent="0.2">
      <c r="C167" s="775" t="s">
        <v>1288</v>
      </c>
      <c r="D167" s="1273">
        <v>3</v>
      </c>
      <c r="E167" s="172" t="s">
        <v>167</v>
      </c>
      <c r="F167" s="700" t="s">
        <v>1394</v>
      </c>
      <c r="G167" s="185" t="s">
        <v>917</v>
      </c>
      <c r="H167" s="247"/>
      <c r="I167" s="934"/>
      <c r="J167" s="125" t="s">
        <v>67</v>
      </c>
      <c r="K167" s="216"/>
      <c r="L167" s="549">
        <v>2</v>
      </c>
      <c r="M167" s="548">
        <v>3</v>
      </c>
      <c r="N167" s="794" t="s">
        <v>43</v>
      </c>
      <c r="O167" s="1531" t="s">
        <v>1114</v>
      </c>
      <c r="P167" s="310">
        <f>Test_Bible!P284</f>
        <v>1</v>
      </c>
      <c r="Q167" s="310">
        <f>Test_Bible!Q284</f>
        <v>2</v>
      </c>
      <c r="R167" s="310" t="s">
        <v>1630</v>
      </c>
      <c r="S167" s="319">
        <v>1</v>
      </c>
      <c r="T167" s="341">
        <v>0</v>
      </c>
      <c r="U167" s="342">
        <v>0</v>
      </c>
      <c r="V167" s="652" t="s">
        <v>2319</v>
      </c>
      <c r="W167" s="8"/>
      <c r="X167" s="426"/>
      <c r="Y167" s="1057">
        <v>1</v>
      </c>
      <c r="Z167" s="427"/>
      <c r="AE167" s="1007" t="s">
        <v>67</v>
      </c>
      <c r="AF167" s="1008"/>
      <c r="AG167" s="1008"/>
      <c r="AH167" s="1007" t="s">
        <v>67</v>
      </c>
      <c r="AI167" s="1009"/>
      <c r="AJ167" s="1010"/>
    </row>
    <row r="168" spans="1:36" ht="58" customHeight="1" x14ac:dyDescent="0.2">
      <c r="A168" s="700" t="s">
        <v>695</v>
      </c>
      <c r="D168" s="1273">
        <v>47</v>
      </c>
      <c r="E168" s="172" t="s">
        <v>169</v>
      </c>
      <c r="F168" s="700" t="s">
        <v>1395</v>
      </c>
      <c r="G168" s="185" t="s">
        <v>919</v>
      </c>
      <c r="H168" s="247"/>
      <c r="I168" s="934"/>
      <c r="J168" s="125" t="s">
        <v>67</v>
      </c>
      <c r="K168" s="216"/>
      <c r="L168" s="549">
        <v>2</v>
      </c>
      <c r="M168" s="549"/>
      <c r="N168" s="794" t="s">
        <v>3</v>
      </c>
      <c r="O168" s="272" t="s">
        <v>1113</v>
      </c>
      <c r="P168" s="310">
        <f>Test_Bible!P285</f>
        <v>0</v>
      </c>
      <c r="Q168" s="310">
        <f>Test_Bible!Q285</f>
        <v>0</v>
      </c>
      <c r="R168" s="310" t="s">
        <v>618</v>
      </c>
      <c r="S168" s="315">
        <v>0</v>
      </c>
      <c r="T168" s="341">
        <v>0</v>
      </c>
      <c r="U168" s="340">
        <v>1</v>
      </c>
      <c r="V168" s="653" t="s">
        <v>309</v>
      </c>
      <c r="W168" s="8"/>
      <c r="X168" s="426"/>
      <c r="Y168" s="423"/>
      <c r="Z168" s="428">
        <v>1</v>
      </c>
      <c r="AE168" s="1007" t="s">
        <v>67</v>
      </c>
      <c r="AF168" s="1008"/>
      <c r="AG168" s="1008"/>
      <c r="AH168" s="1007" t="s">
        <v>67</v>
      </c>
      <c r="AI168" s="1009"/>
      <c r="AJ168" s="1010"/>
    </row>
    <row r="169" spans="1:36" ht="83" customHeight="1" x14ac:dyDescent="0.2">
      <c r="A169" s="700" t="s">
        <v>697</v>
      </c>
      <c r="D169" s="1273">
        <v>48</v>
      </c>
      <c r="E169" s="172" t="s">
        <v>170</v>
      </c>
      <c r="F169" s="700" t="s">
        <v>1396</v>
      </c>
      <c r="G169" s="185" t="s">
        <v>920</v>
      </c>
      <c r="H169" s="247"/>
      <c r="I169" s="934"/>
      <c r="J169" s="125" t="s">
        <v>67</v>
      </c>
      <c r="K169" s="216">
        <v>4</v>
      </c>
      <c r="L169" s="549">
        <v>2</v>
      </c>
      <c r="M169" s="549"/>
      <c r="N169" s="794" t="s">
        <v>3</v>
      </c>
      <c r="O169" s="272" t="s">
        <v>1113</v>
      </c>
      <c r="P169" s="310">
        <f>Test_Bible!P286</f>
        <v>7</v>
      </c>
      <c r="Q169" s="310">
        <f>Test_Bible!Q286</f>
        <v>14</v>
      </c>
      <c r="R169" s="310" t="s">
        <v>1600</v>
      </c>
      <c r="S169" s="315">
        <v>0</v>
      </c>
      <c r="T169" s="339">
        <v>1</v>
      </c>
      <c r="U169" s="342">
        <v>0</v>
      </c>
      <c r="V169" s="653" t="s">
        <v>309</v>
      </c>
      <c r="W169" s="8"/>
      <c r="X169" s="426"/>
      <c r="Y169" s="423"/>
      <c r="Z169" s="428">
        <v>1</v>
      </c>
      <c r="AE169" s="1003" t="s">
        <v>24</v>
      </c>
      <c r="AF169" s="1012" t="s">
        <v>513</v>
      </c>
      <c r="AG169" s="1012"/>
      <c r="AH169" s="1007" t="s">
        <v>67</v>
      </c>
      <c r="AI169" s="1009"/>
      <c r="AJ169" s="1010"/>
    </row>
    <row r="170" spans="1:36" ht="83" customHeight="1" x14ac:dyDescent="0.2">
      <c r="B170" s="99" t="s">
        <v>731</v>
      </c>
      <c r="D170" s="1273">
        <v>49</v>
      </c>
      <c r="E170" s="168" t="s">
        <v>466</v>
      </c>
      <c r="F170" s="698" t="s">
        <v>1397</v>
      </c>
      <c r="G170" s="697" t="s">
        <v>921</v>
      </c>
      <c r="H170" s="249"/>
      <c r="I170" s="935"/>
      <c r="J170" s="146" t="s">
        <v>50</v>
      </c>
      <c r="K170" s="171"/>
      <c r="L170" s="548">
        <v>3</v>
      </c>
      <c r="M170" s="548"/>
      <c r="N170" s="794" t="s">
        <v>7</v>
      </c>
      <c r="O170" s="1531" t="s">
        <v>1221</v>
      </c>
      <c r="P170" s="310">
        <f>Test_Bible!P287</f>
        <v>2</v>
      </c>
      <c r="Q170" s="310">
        <f>Test_Bible!Q287</f>
        <v>6</v>
      </c>
      <c r="R170" s="310" t="s">
        <v>1601</v>
      </c>
      <c r="S170" s="315">
        <v>0</v>
      </c>
      <c r="T170" s="339">
        <v>1</v>
      </c>
      <c r="U170" s="342">
        <v>0</v>
      </c>
      <c r="V170" s="653" t="s">
        <v>309</v>
      </c>
      <c r="W170" s="8"/>
      <c r="X170" s="426"/>
      <c r="Y170" s="423"/>
      <c r="Z170" s="428">
        <v>1</v>
      </c>
      <c r="AE170" s="1007"/>
      <c r="AF170" s="1008"/>
      <c r="AG170" s="1008"/>
      <c r="AH170" s="1007"/>
      <c r="AI170" s="1009"/>
      <c r="AJ170" s="1010"/>
    </row>
    <row r="171" spans="1:36" ht="65" customHeight="1" x14ac:dyDescent="0.2">
      <c r="D171" s="1273">
        <v>22</v>
      </c>
      <c r="E171" s="166" t="s">
        <v>171</v>
      </c>
      <c r="F171" s="700" t="s">
        <v>1237</v>
      </c>
      <c r="G171" s="185" t="s">
        <v>922</v>
      </c>
      <c r="H171" s="247"/>
      <c r="I171" s="934"/>
      <c r="J171" s="125" t="s">
        <v>87</v>
      </c>
      <c r="K171" s="216">
        <v>4</v>
      </c>
      <c r="L171" s="549">
        <v>2</v>
      </c>
      <c r="M171" s="549"/>
      <c r="N171" s="794" t="s">
        <v>3</v>
      </c>
      <c r="O171" s="272" t="s">
        <v>1113</v>
      </c>
      <c r="P171" s="310">
        <f>Test_Bible!P288</f>
        <v>2</v>
      </c>
      <c r="Q171" s="310">
        <f>Test_Bible!Q288</f>
        <v>4</v>
      </c>
      <c r="R171" s="310" t="s">
        <v>1602</v>
      </c>
      <c r="S171" s="315">
        <v>0</v>
      </c>
      <c r="T171" s="341">
        <v>1</v>
      </c>
      <c r="U171" s="342">
        <v>0</v>
      </c>
      <c r="V171" s="653" t="s">
        <v>309</v>
      </c>
      <c r="W171" s="8"/>
      <c r="X171" s="426"/>
      <c r="Y171" s="423"/>
      <c r="Z171" s="428">
        <v>1</v>
      </c>
      <c r="AE171" s="1007" t="s">
        <v>67</v>
      </c>
      <c r="AF171" s="1008"/>
      <c r="AG171" s="1008"/>
      <c r="AH171" s="1007" t="s">
        <v>67</v>
      </c>
      <c r="AI171" s="1009"/>
      <c r="AJ171" s="1010"/>
    </row>
    <row r="172" spans="1:36" ht="71" customHeight="1" x14ac:dyDescent="0.25">
      <c r="B172" s="99" t="s">
        <v>732</v>
      </c>
      <c r="D172" s="1273">
        <v>23</v>
      </c>
      <c r="E172" s="167" t="s">
        <v>314</v>
      </c>
      <c r="F172" s="698" t="s">
        <v>1238</v>
      </c>
      <c r="G172" s="946" t="s">
        <v>923</v>
      </c>
      <c r="H172" s="241"/>
      <c r="I172" s="931"/>
      <c r="J172" s="127" t="s">
        <v>50</v>
      </c>
      <c r="K172" s="207"/>
      <c r="L172" s="548">
        <v>3</v>
      </c>
      <c r="M172" s="548"/>
      <c r="N172" s="794" t="s">
        <v>3</v>
      </c>
      <c r="O172" s="272" t="s">
        <v>1113</v>
      </c>
      <c r="P172" s="310">
        <f>Test_Bible!P289</f>
        <v>0</v>
      </c>
      <c r="Q172" s="310">
        <f>Test_Bible!Q289</f>
        <v>0</v>
      </c>
      <c r="R172" s="310" t="s">
        <v>1629</v>
      </c>
      <c r="S172" s="315">
        <v>0</v>
      </c>
      <c r="T172" s="341">
        <v>0</v>
      </c>
      <c r="U172" s="340">
        <v>1</v>
      </c>
      <c r="V172" s="653" t="s">
        <v>309</v>
      </c>
      <c r="W172" s="8"/>
      <c r="X172" s="426"/>
      <c r="Y172" s="414"/>
      <c r="Z172" s="428">
        <v>1</v>
      </c>
      <c r="AE172" s="1003" t="s">
        <v>24</v>
      </c>
      <c r="AF172" s="1012" t="s">
        <v>520</v>
      </c>
      <c r="AG172" s="1012"/>
      <c r="AH172" s="1003" t="s">
        <v>25</v>
      </c>
      <c r="AI172" s="1005"/>
      <c r="AJ172" s="1006"/>
    </row>
    <row r="173" spans="1:36" ht="67" customHeight="1" x14ac:dyDescent="0.2">
      <c r="C173" s="1503"/>
      <c r="D173" s="1536">
        <v>24</v>
      </c>
      <c r="E173" s="166" t="s">
        <v>172</v>
      </c>
      <c r="F173" s="700" t="s">
        <v>1398</v>
      </c>
      <c r="G173" s="185" t="s">
        <v>924</v>
      </c>
      <c r="H173" s="247"/>
      <c r="I173" s="934"/>
      <c r="J173" s="125" t="s">
        <v>87</v>
      </c>
      <c r="K173" s="216">
        <v>2</v>
      </c>
      <c r="L173" s="549">
        <v>2</v>
      </c>
      <c r="M173" s="569"/>
      <c r="N173" s="794" t="s">
        <v>3</v>
      </c>
      <c r="O173" s="272" t="s">
        <v>1113</v>
      </c>
      <c r="P173" s="310">
        <f>Test_Bible!P290</f>
        <v>2</v>
      </c>
      <c r="Q173" s="310">
        <f>Test_Bible!Q290</f>
        <v>4</v>
      </c>
      <c r="R173" s="310" t="s">
        <v>1603</v>
      </c>
      <c r="S173" s="315">
        <v>0.5</v>
      </c>
      <c r="T173" s="341">
        <v>0</v>
      </c>
      <c r="U173" s="342">
        <v>0.5</v>
      </c>
      <c r="V173" s="654" t="s">
        <v>2320</v>
      </c>
      <c r="W173" s="8"/>
      <c r="X173" s="426"/>
      <c r="Y173" s="423"/>
      <c r="Z173" s="428"/>
      <c r="AA173" s="1052">
        <v>1</v>
      </c>
      <c r="AE173" s="1007" t="s">
        <v>67</v>
      </c>
      <c r="AF173" s="1008"/>
      <c r="AG173" s="1008"/>
      <c r="AH173" s="1007" t="s">
        <v>67</v>
      </c>
      <c r="AI173" s="1009"/>
      <c r="AJ173" s="1010"/>
    </row>
    <row r="174" spans="1:36" ht="72" customHeight="1" x14ac:dyDescent="0.2">
      <c r="A174" s="1504" t="s">
        <v>1115</v>
      </c>
      <c r="B174" s="99" t="s">
        <v>1472</v>
      </c>
      <c r="C174" s="1535"/>
      <c r="D174" s="1273">
        <v>25</v>
      </c>
      <c r="E174" s="1537" t="s">
        <v>173</v>
      </c>
      <c r="F174" s="864" t="s">
        <v>1399</v>
      </c>
      <c r="G174" s="1538"/>
      <c r="H174" s="1539"/>
      <c r="I174" s="1540"/>
      <c r="J174" s="1541"/>
      <c r="K174" s="1541"/>
      <c r="L174" s="549">
        <v>2</v>
      </c>
      <c r="M174" s="569"/>
      <c r="N174" s="1542" t="s">
        <v>164</v>
      </c>
      <c r="O174" s="1543" t="s">
        <v>1256</v>
      </c>
      <c r="P174" s="1544"/>
      <c r="Q174" s="1544"/>
      <c r="R174" s="1544"/>
      <c r="S174" s="1545"/>
      <c r="T174" s="1546"/>
      <c r="U174" s="1547"/>
      <c r="V174" s="1548"/>
      <c r="W174" s="1549"/>
      <c r="X174" s="1549"/>
      <c r="Y174" s="1550"/>
      <c r="Z174" s="1551"/>
      <c r="AA174" s="1552"/>
      <c r="AB174" s="1553"/>
      <c r="AC174" s="1553"/>
      <c r="AD174" s="1553"/>
      <c r="AE174" s="1554"/>
      <c r="AF174" s="1555"/>
      <c r="AG174" s="1555"/>
      <c r="AH174" s="1554"/>
      <c r="AI174" s="1009"/>
      <c r="AJ174" s="1010"/>
    </row>
    <row r="175" spans="1:36" ht="75" customHeight="1" x14ac:dyDescent="0.2">
      <c r="B175" s="99" t="s">
        <v>1097</v>
      </c>
      <c r="C175" s="775" t="s">
        <v>791</v>
      </c>
      <c r="D175" s="1273">
        <v>26</v>
      </c>
      <c r="E175" s="167" t="s">
        <v>1093</v>
      </c>
      <c r="F175" s="698" t="s">
        <v>1400</v>
      </c>
      <c r="G175" s="946" t="s">
        <v>925</v>
      </c>
      <c r="H175" s="241"/>
      <c r="I175" s="931"/>
      <c r="J175" s="127" t="s">
        <v>50</v>
      </c>
      <c r="K175" s="207"/>
      <c r="L175" s="549">
        <v>2</v>
      </c>
      <c r="M175" s="548">
        <v>3</v>
      </c>
      <c r="N175" s="794" t="s">
        <v>3</v>
      </c>
      <c r="O175" s="272" t="s">
        <v>1113</v>
      </c>
      <c r="P175" s="310">
        <f>Test_Bible!P296</f>
        <v>0</v>
      </c>
      <c r="Q175" s="310">
        <f>Test_Bible!Q296</f>
        <v>0</v>
      </c>
      <c r="R175" s="310" t="s">
        <v>1604</v>
      </c>
      <c r="S175" s="315">
        <v>1</v>
      </c>
      <c r="T175" s="341">
        <v>0</v>
      </c>
      <c r="U175" s="342">
        <v>0</v>
      </c>
      <c r="V175" s="654" t="s">
        <v>2320</v>
      </c>
      <c r="W175" s="8"/>
      <c r="X175" s="426"/>
      <c r="Y175" s="423"/>
      <c r="Z175" s="428"/>
      <c r="AA175" s="1052">
        <v>1</v>
      </c>
      <c r="AE175" s="1007" t="s">
        <v>67</v>
      </c>
      <c r="AF175" s="1008"/>
      <c r="AG175" s="1008"/>
      <c r="AH175" s="1007" t="s">
        <v>67</v>
      </c>
      <c r="AI175" s="1009"/>
      <c r="AJ175" s="1010"/>
    </row>
    <row r="176" spans="1:36" ht="88" customHeight="1" x14ac:dyDescent="0.2">
      <c r="B176" s="99" t="s">
        <v>1097</v>
      </c>
      <c r="D176" s="1273">
        <v>27</v>
      </c>
      <c r="E176" s="167" t="s">
        <v>1094</v>
      </c>
      <c r="F176" s="698" t="s">
        <v>1239</v>
      </c>
      <c r="G176" s="946" t="s">
        <v>926</v>
      </c>
      <c r="H176" s="241"/>
      <c r="I176" s="931"/>
      <c r="J176" s="127" t="s">
        <v>50</v>
      </c>
      <c r="K176" s="207"/>
      <c r="L176" s="548">
        <v>3</v>
      </c>
      <c r="M176" s="548"/>
      <c r="N176" s="794" t="s">
        <v>3</v>
      </c>
      <c r="O176" s="272" t="s">
        <v>1113</v>
      </c>
      <c r="P176" s="310">
        <f>Test_Bible!P297</f>
        <v>2</v>
      </c>
      <c r="Q176" s="310">
        <f>Test_Bible!Q297</f>
        <v>6</v>
      </c>
      <c r="R176" s="310" t="s">
        <v>1605</v>
      </c>
      <c r="S176" s="315">
        <v>1</v>
      </c>
      <c r="T176" s="341">
        <v>0</v>
      </c>
      <c r="U176" s="342">
        <v>0</v>
      </c>
      <c r="V176" s="654" t="s">
        <v>2320</v>
      </c>
      <c r="W176" s="8"/>
      <c r="X176" s="426"/>
      <c r="Y176" s="423"/>
      <c r="Z176" s="428"/>
      <c r="AA176" s="1052">
        <v>1</v>
      </c>
      <c r="AE176" s="1007" t="s">
        <v>67</v>
      </c>
      <c r="AF176" s="1008"/>
      <c r="AG176" s="1008"/>
      <c r="AH176" s="1007" t="s">
        <v>67</v>
      </c>
      <c r="AI176" s="1009"/>
      <c r="AJ176" s="1010"/>
    </row>
    <row r="177" spans="1:36" ht="73" customHeight="1" x14ac:dyDescent="0.2">
      <c r="B177" s="99" t="s">
        <v>1097</v>
      </c>
      <c r="C177" s="775" t="s">
        <v>791</v>
      </c>
      <c r="D177" s="1273">
        <v>28</v>
      </c>
      <c r="E177" s="167" t="s">
        <v>1095</v>
      </c>
      <c r="F177" s="698" t="s">
        <v>1401</v>
      </c>
      <c r="G177" s="946" t="s">
        <v>927</v>
      </c>
      <c r="H177" s="241"/>
      <c r="I177" s="931"/>
      <c r="J177" s="127" t="s">
        <v>50</v>
      </c>
      <c r="K177" s="207"/>
      <c r="L177" s="549">
        <v>2</v>
      </c>
      <c r="M177" s="548">
        <v>3</v>
      </c>
      <c r="N177" s="794" t="s">
        <v>7</v>
      </c>
      <c r="O177" s="1531" t="s">
        <v>1221</v>
      </c>
      <c r="P177" s="310">
        <f>Test_Bible!P298</f>
        <v>7</v>
      </c>
      <c r="Q177" s="310">
        <f>Test_Bible!Q298</f>
        <v>21</v>
      </c>
      <c r="R177" s="310" t="s">
        <v>1606</v>
      </c>
      <c r="S177" s="315">
        <v>0.5</v>
      </c>
      <c r="T177" s="341">
        <v>0.5</v>
      </c>
      <c r="U177" s="342">
        <v>0</v>
      </c>
      <c r="V177" s="654" t="s">
        <v>2320</v>
      </c>
      <c r="W177" s="8"/>
      <c r="X177" s="426"/>
      <c r="Y177" s="423"/>
      <c r="Z177" s="428"/>
      <c r="AA177" s="1052">
        <v>1</v>
      </c>
      <c r="AE177" s="1007" t="s">
        <v>67</v>
      </c>
      <c r="AF177" s="1008"/>
      <c r="AG177" s="1008"/>
      <c r="AH177" s="1007" t="s">
        <v>67</v>
      </c>
      <c r="AI177" s="1009"/>
      <c r="AJ177" s="1010"/>
    </row>
    <row r="178" spans="1:36" ht="77" customHeight="1" x14ac:dyDescent="0.2">
      <c r="D178" s="1273">
        <v>4</v>
      </c>
      <c r="E178" s="166" t="s">
        <v>175</v>
      </c>
      <c r="F178" s="700" t="s">
        <v>1402</v>
      </c>
      <c r="G178" s="185" t="s">
        <v>928</v>
      </c>
      <c r="H178" s="248"/>
      <c r="I178" s="185"/>
      <c r="J178" s="185"/>
      <c r="K178" s="217"/>
      <c r="L178" s="549">
        <v>2</v>
      </c>
      <c r="M178" s="549"/>
      <c r="N178" s="794" t="s">
        <v>43</v>
      </c>
      <c r="O178" s="1531" t="s">
        <v>1114</v>
      </c>
      <c r="P178" s="310">
        <f>Test_Bible!P299</f>
        <v>2</v>
      </c>
      <c r="Q178" s="310">
        <f>Test_Bible!Q299</f>
        <v>4</v>
      </c>
      <c r="R178" s="310" t="s">
        <v>1607</v>
      </c>
      <c r="S178" s="315">
        <v>1</v>
      </c>
      <c r="T178" s="341">
        <v>0</v>
      </c>
      <c r="U178" s="342">
        <v>0</v>
      </c>
      <c r="V178" s="654" t="s">
        <v>2320</v>
      </c>
      <c r="W178" s="8"/>
      <c r="X178" s="426"/>
      <c r="Y178" s="414"/>
      <c r="Z178" s="427"/>
      <c r="AA178" s="1052">
        <v>1</v>
      </c>
      <c r="AE178" s="1003" t="s">
        <v>24</v>
      </c>
      <c r="AF178" s="1036" t="s">
        <v>549</v>
      </c>
      <c r="AG178" s="1008"/>
      <c r="AH178" s="1007" t="s">
        <v>67</v>
      </c>
      <c r="AI178" s="1009"/>
      <c r="AJ178" s="1036" t="s">
        <v>549</v>
      </c>
    </row>
    <row r="179" spans="1:36" ht="74" customHeight="1" x14ac:dyDescent="0.25">
      <c r="A179" s="700" t="s">
        <v>697</v>
      </c>
      <c r="B179" s="16"/>
      <c r="C179" s="13"/>
      <c r="D179" s="1273">
        <v>50</v>
      </c>
      <c r="E179" s="166" t="s">
        <v>176</v>
      </c>
      <c r="F179" s="700" t="s">
        <v>1403</v>
      </c>
      <c r="G179" s="185" t="s">
        <v>929</v>
      </c>
      <c r="H179" s="248"/>
      <c r="I179" s="185"/>
      <c r="J179" s="513"/>
      <c r="K179" s="216">
        <v>4</v>
      </c>
      <c r="L179" s="549">
        <v>2</v>
      </c>
      <c r="M179" s="549"/>
      <c r="N179" s="794" t="s">
        <v>7</v>
      </c>
      <c r="O179" s="1531" t="s">
        <v>1221</v>
      </c>
      <c r="P179" s="310">
        <f>Test_Bible!P300</f>
        <v>1</v>
      </c>
      <c r="Q179" s="310">
        <f>Test_Bible!Q300</f>
        <v>2</v>
      </c>
      <c r="R179" s="310" t="s">
        <v>1608</v>
      </c>
      <c r="S179" s="315">
        <v>0.5</v>
      </c>
      <c r="T179" s="341">
        <v>0.5</v>
      </c>
      <c r="U179" s="342">
        <v>0</v>
      </c>
      <c r="V179" s="655" t="s">
        <v>337</v>
      </c>
      <c r="W179" s="8"/>
      <c r="X179" s="426"/>
      <c r="Y179" s="423"/>
      <c r="Z179" s="428"/>
      <c r="AB179" s="1052">
        <v>1</v>
      </c>
      <c r="AE179" s="1003" t="s">
        <v>24</v>
      </c>
      <c r="AF179" s="1012" t="s">
        <v>523</v>
      </c>
      <c r="AG179" s="1012"/>
      <c r="AH179" s="1003" t="s">
        <v>25</v>
      </c>
      <c r="AI179" s="1005"/>
      <c r="AJ179" s="1006"/>
    </row>
    <row r="180" spans="1:36" ht="74" customHeight="1" x14ac:dyDescent="0.25">
      <c r="A180" s="1504"/>
      <c r="B180" s="99" t="s">
        <v>1511</v>
      </c>
      <c r="C180" s="13"/>
      <c r="D180" s="1273">
        <v>51</v>
      </c>
      <c r="E180" s="1597" t="s">
        <v>1098</v>
      </c>
      <c r="F180" s="698" t="s">
        <v>1240</v>
      </c>
      <c r="G180" s="1598"/>
      <c r="H180" s="1635"/>
      <c r="I180" s="1598"/>
      <c r="J180" s="1636"/>
      <c r="K180" s="1637"/>
      <c r="L180" s="548">
        <v>3</v>
      </c>
      <c r="M180" s="548"/>
      <c r="N180" s="794" t="s">
        <v>7</v>
      </c>
      <c r="O180" s="1531" t="s">
        <v>1221</v>
      </c>
      <c r="P180" s="310">
        <f>Test_Bible!P301</f>
        <v>0</v>
      </c>
      <c r="Q180" s="310">
        <f>Test_Bible!Q301</f>
        <v>0</v>
      </c>
      <c r="R180" s="310" t="s">
        <v>1609</v>
      </c>
      <c r="S180" s="315">
        <v>0.5</v>
      </c>
      <c r="T180" s="341">
        <v>0.5</v>
      </c>
      <c r="U180" s="342">
        <v>0</v>
      </c>
      <c r="V180" s="655" t="s">
        <v>337</v>
      </c>
      <c r="W180" s="8"/>
      <c r="X180" s="426"/>
      <c r="Y180" s="423"/>
      <c r="Z180" s="428"/>
      <c r="AB180" s="1052">
        <v>1</v>
      </c>
      <c r="AE180" s="1003"/>
      <c r="AF180" s="1012"/>
      <c r="AG180" s="1012"/>
      <c r="AH180" s="1003"/>
      <c r="AI180" s="1005"/>
      <c r="AJ180" s="1006"/>
    </row>
    <row r="181" spans="1:36" ht="66" customHeight="1" x14ac:dyDescent="0.2">
      <c r="D181" s="1273">
        <v>5</v>
      </c>
      <c r="E181" s="166" t="s">
        <v>177</v>
      </c>
      <c r="F181" s="700" t="s">
        <v>1404</v>
      </c>
      <c r="G181" s="185" t="s">
        <v>930</v>
      </c>
      <c r="H181" s="247"/>
      <c r="I181" s="934"/>
      <c r="J181" s="125" t="s">
        <v>67</v>
      </c>
      <c r="K181" s="216">
        <v>4</v>
      </c>
      <c r="L181" s="541">
        <v>1</v>
      </c>
      <c r="M181" s="541"/>
      <c r="N181" s="794" t="s">
        <v>43</v>
      </c>
      <c r="O181" s="1531" t="s">
        <v>1114</v>
      </c>
      <c r="P181" s="310">
        <f>Test_Bible!P302</f>
        <v>7</v>
      </c>
      <c r="Q181" s="310">
        <f>Test_Bible!Q302</f>
        <v>7</v>
      </c>
      <c r="R181" s="310" t="s">
        <v>1628</v>
      </c>
      <c r="S181" s="335">
        <v>1</v>
      </c>
      <c r="T181" s="341">
        <v>0</v>
      </c>
      <c r="U181" s="342">
        <v>0</v>
      </c>
      <c r="V181" s="655" t="s">
        <v>337</v>
      </c>
      <c r="W181" s="8"/>
      <c r="X181" s="426"/>
      <c r="Y181" s="423"/>
      <c r="Z181" s="428"/>
      <c r="AB181" s="1052">
        <v>1</v>
      </c>
      <c r="AE181" s="1003" t="s">
        <v>24</v>
      </c>
      <c r="AF181" s="1012" t="s">
        <v>522</v>
      </c>
      <c r="AG181" s="1012"/>
      <c r="AH181" s="1007" t="s">
        <v>67</v>
      </c>
      <c r="AI181" s="1009"/>
      <c r="AJ181" s="1010"/>
    </row>
    <row r="182" spans="1:36" ht="66" customHeight="1" x14ac:dyDescent="0.2">
      <c r="B182" s="99" t="s">
        <v>733</v>
      </c>
      <c r="D182" s="1273">
        <v>6</v>
      </c>
      <c r="E182" s="168" t="s">
        <v>178</v>
      </c>
      <c r="F182" s="698" t="s">
        <v>1241</v>
      </c>
      <c r="G182" s="697" t="s">
        <v>931</v>
      </c>
      <c r="H182" s="249"/>
      <c r="I182" s="935"/>
      <c r="J182" s="146" t="s">
        <v>67</v>
      </c>
      <c r="K182" s="171"/>
      <c r="L182" s="549">
        <v>2</v>
      </c>
      <c r="M182" s="549"/>
      <c r="N182" s="794" t="s">
        <v>43</v>
      </c>
      <c r="O182" s="1531" t="s">
        <v>1114</v>
      </c>
      <c r="P182" s="310">
        <f>Test_Bible!P303</f>
        <v>7</v>
      </c>
      <c r="Q182" s="310">
        <f>Test_Bible!Q303</f>
        <v>14</v>
      </c>
      <c r="R182" s="310" t="s">
        <v>1627</v>
      </c>
      <c r="S182" s="335">
        <v>0.5</v>
      </c>
      <c r="T182" s="343">
        <v>0.5</v>
      </c>
      <c r="U182" s="342">
        <v>0</v>
      </c>
      <c r="V182" s="655" t="s">
        <v>337</v>
      </c>
      <c r="W182" s="8"/>
      <c r="X182" s="426"/>
      <c r="Y182" s="414"/>
      <c r="Z182" s="427"/>
      <c r="AB182" s="1052">
        <v>1</v>
      </c>
      <c r="AE182" s="1007" t="s">
        <v>67</v>
      </c>
      <c r="AF182" s="1008"/>
      <c r="AG182" s="1008"/>
      <c r="AH182" s="1007" t="s">
        <v>67</v>
      </c>
      <c r="AI182" s="1009"/>
      <c r="AJ182" s="1010"/>
    </row>
    <row r="183" spans="1:36" ht="72" customHeight="1" x14ac:dyDescent="0.2">
      <c r="D183" s="1273">
        <v>42</v>
      </c>
      <c r="E183" s="166" t="s">
        <v>179</v>
      </c>
      <c r="F183" s="700" t="s">
        <v>1405</v>
      </c>
      <c r="G183" s="185" t="s">
        <v>932</v>
      </c>
      <c r="H183" s="247"/>
      <c r="I183" s="934"/>
      <c r="J183" s="125" t="s">
        <v>67</v>
      </c>
      <c r="K183" s="216">
        <v>2</v>
      </c>
      <c r="L183" s="549">
        <v>2</v>
      </c>
      <c r="M183" s="549"/>
      <c r="N183" s="794" t="s">
        <v>7</v>
      </c>
      <c r="O183" s="1531" t="s">
        <v>1221</v>
      </c>
      <c r="P183" s="310">
        <f>Test_Bible!P304</f>
        <v>2</v>
      </c>
      <c r="Q183" s="310">
        <f>Test_Bible!Q304</f>
        <v>4</v>
      </c>
      <c r="R183" s="310" t="s">
        <v>1610</v>
      </c>
      <c r="S183" s="315">
        <v>0</v>
      </c>
      <c r="T183" s="341">
        <v>0.5</v>
      </c>
      <c r="U183" s="342">
        <v>0.5</v>
      </c>
      <c r="V183" s="655" t="s">
        <v>337</v>
      </c>
      <c r="W183" s="8"/>
      <c r="X183" s="426"/>
      <c r="Y183" s="423"/>
      <c r="Z183" s="428"/>
      <c r="AB183" s="1052">
        <v>1</v>
      </c>
      <c r="AE183" s="1007" t="s">
        <v>67</v>
      </c>
      <c r="AF183" s="1008"/>
      <c r="AG183" s="1008"/>
      <c r="AH183" s="1007" t="s">
        <v>67</v>
      </c>
      <c r="AI183" s="1009"/>
      <c r="AJ183" s="1014" t="s">
        <v>574</v>
      </c>
    </row>
    <row r="184" spans="1:36" ht="74" customHeight="1" x14ac:dyDescent="0.2">
      <c r="B184" s="99" t="s">
        <v>734</v>
      </c>
      <c r="D184" s="1273">
        <v>43</v>
      </c>
      <c r="E184" s="167" t="s">
        <v>592</v>
      </c>
      <c r="F184" s="698" t="s">
        <v>1406</v>
      </c>
      <c r="G184" s="946" t="s">
        <v>933</v>
      </c>
      <c r="H184" s="241"/>
      <c r="I184" s="931"/>
      <c r="J184" s="127" t="s">
        <v>50</v>
      </c>
      <c r="K184" s="207"/>
      <c r="L184" s="548">
        <v>3</v>
      </c>
      <c r="M184" s="548"/>
      <c r="N184" s="794" t="s">
        <v>7</v>
      </c>
      <c r="O184" s="1531" t="s">
        <v>1221</v>
      </c>
      <c r="P184" s="310">
        <f>Test_Bible!P305</f>
        <v>2</v>
      </c>
      <c r="Q184" s="310">
        <f>Test_Bible!Q305</f>
        <v>6</v>
      </c>
      <c r="R184" s="310" t="s">
        <v>1549</v>
      </c>
      <c r="S184" s="315">
        <v>0</v>
      </c>
      <c r="T184" s="341">
        <v>1</v>
      </c>
      <c r="U184" s="342">
        <v>0</v>
      </c>
      <c r="V184" s="655" t="s">
        <v>337</v>
      </c>
      <c r="W184" s="8"/>
      <c r="X184" s="426"/>
      <c r="Y184" s="414"/>
      <c r="Z184" s="427"/>
      <c r="AB184" s="1052">
        <v>1</v>
      </c>
      <c r="AE184" s="1007" t="s">
        <v>67</v>
      </c>
      <c r="AF184" s="1008"/>
      <c r="AG184" s="1008"/>
      <c r="AH184" s="1003" t="s">
        <v>25</v>
      </c>
      <c r="AI184" s="1012"/>
      <c r="AJ184" s="1012" t="s">
        <v>521</v>
      </c>
    </row>
    <row r="185" spans="1:36" ht="100" customHeight="1" x14ac:dyDescent="0.2">
      <c r="C185" s="775" t="s">
        <v>793</v>
      </c>
      <c r="D185" s="1273">
        <v>8</v>
      </c>
      <c r="E185" s="166" t="s">
        <v>174</v>
      </c>
      <c r="F185" s="700" t="s">
        <v>1407</v>
      </c>
      <c r="G185" s="185" t="s">
        <v>934</v>
      </c>
      <c r="H185" s="248"/>
      <c r="I185" s="185"/>
      <c r="J185" s="194" t="s">
        <v>67</v>
      </c>
      <c r="K185" s="217"/>
      <c r="L185" s="541">
        <v>1</v>
      </c>
      <c r="M185" s="549">
        <v>2</v>
      </c>
      <c r="N185" s="794" t="s">
        <v>3</v>
      </c>
      <c r="O185" s="272" t="s">
        <v>1113</v>
      </c>
      <c r="P185" s="310">
        <f>Test_Bible!P306</f>
        <v>7</v>
      </c>
      <c r="Q185" s="310">
        <f>Test_Bible!Q306</f>
        <v>7</v>
      </c>
      <c r="R185" s="310" t="s">
        <v>2042</v>
      </c>
      <c r="S185" s="315">
        <v>1</v>
      </c>
      <c r="T185" s="341">
        <v>0</v>
      </c>
      <c r="U185" s="342">
        <v>0</v>
      </c>
      <c r="V185" s="657" t="s">
        <v>310</v>
      </c>
      <c r="W185" s="8"/>
      <c r="X185" s="426"/>
      <c r="Y185" s="423"/>
      <c r="Z185" s="428"/>
      <c r="AC185" s="1052">
        <v>1</v>
      </c>
      <c r="AE185" s="1007" t="s">
        <v>67</v>
      </c>
      <c r="AF185" s="1008"/>
      <c r="AG185" s="1008"/>
      <c r="AH185" s="1007" t="s">
        <v>67</v>
      </c>
      <c r="AI185" s="1009"/>
      <c r="AJ185" s="1010"/>
    </row>
    <row r="186" spans="1:36" ht="72" customHeight="1" x14ac:dyDescent="0.2">
      <c r="D186" s="1273">
        <v>7</v>
      </c>
      <c r="E186" s="166" t="s">
        <v>180</v>
      </c>
      <c r="F186" s="700" t="s">
        <v>1408</v>
      </c>
      <c r="G186" s="185" t="s">
        <v>935</v>
      </c>
      <c r="H186" s="247"/>
      <c r="I186" s="934"/>
      <c r="J186" s="125" t="s">
        <v>67</v>
      </c>
      <c r="K186" s="216"/>
      <c r="L186" s="541">
        <v>1</v>
      </c>
      <c r="M186" s="541"/>
      <c r="N186" s="794" t="s">
        <v>7</v>
      </c>
      <c r="O186" s="1531" t="s">
        <v>1221</v>
      </c>
      <c r="P186" s="310">
        <f>Test_Bible!P307</f>
        <v>1</v>
      </c>
      <c r="Q186" s="310">
        <f>Test_Bible!Q307</f>
        <v>1</v>
      </c>
      <c r="R186" s="310" t="s">
        <v>1611</v>
      </c>
      <c r="S186" s="315">
        <v>0</v>
      </c>
      <c r="T186" s="341">
        <v>1</v>
      </c>
      <c r="U186" s="342">
        <v>0</v>
      </c>
      <c r="V186" s="657" t="s">
        <v>310</v>
      </c>
      <c r="W186" s="8"/>
      <c r="X186" s="426"/>
      <c r="Y186" s="423"/>
      <c r="Z186" s="428"/>
      <c r="AC186" s="1052">
        <v>1</v>
      </c>
      <c r="AE186" s="1003" t="s">
        <v>24</v>
      </c>
      <c r="AF186" s="1004" t="s">
        <v>524</v>
      </c>
      <c r="AG186" s="1004"/>
      <c r="AH186" s="1007" t="s">
        <v>67</v>
      </c>
      <c r="AI186" s="1009"/>
      <c r="AJ186" s="1014" t="s">
        <v>574</v>
      </c>
    </row>
    <row r="187" spans="1:36" ht="68" customHeight="1" x14ac:dyDescent="0.2">
      <c r="A187" s="700" t="s">
        <v>1117</v>
      </c>
      <c r="D187" s="1273">
        <v>38</v>
      </c>
      <c r="E187" s="166" t="s">
        <v>181</v>
      </c>
      <c r="F187" s="700" t="s">
        <v>1409</v>
      </c>
      <c r="G187" s="185" t="s">
        <v>936</v>
      </c>
      <c r="H187" s="247"/>
      <c r="I187" s="934"/>
      <c r="J187" s="125" t="s">
        <v>67</v>
      </c>
      <c r="K187" s="216"/>
      <c r="L187" s="549">
        <v>2</v>
      </c>
      <c r="M187" s="549"/>
      <c r="N187" s="794" t="s">
        <v>7</v>
      </c>
      <c r="O187" s="1531" t="s">
        <v>1221</v>
      </c>
      <c r="P187" s="310">
        <f>Test_Bible!P308</f>
        <v>10</v>
      </c>
      <c r="Q187" s="310">
        <f>Test_Bible!Q308</f>
        <v>20</v>
      </c>
      <c r="R187" s="310" t="s">
        <v>1612</v>
      </c>
      <c r="S187" s="315">
        <v>1</v>
      </c>
      <c r="T187" s="341">
        <v>0</v>
      </c>
      <c r="U187" s="342">
        <v>0</v>
      </c>
      <c r="V187" s="657" t="s">
        <v>310</v>
      </c>
      <c r="W187" s="8"/>
      <c r="X187" s="426"/>
      <c r="Y187" s="423"/>
      <c r="Z187" s="428"/>
      <c r="AC187" s="1052">
        <v>1</v>
      </c>
      <c r="AE187" s="1007" t="s">
        <v>67</v>
      </c>
      <c r="AF187" s="1008"/>
      <c r="AG187" s="1008"/>
      <c r="AH187" s="1007" t="s">
        <v>67</v>
      </c>
      <c r="AI187" s="1009"/>
      <c r="AJ187" s="1014" t="s">
        <v>574</v>
      </c>
    </row>
    <row r="188" spans="1:36" ht="54" customHeight="1" x14ac:dyDescent="0.2">
      <c r="D188" s="1273">
        <v>15</v>
      </c>
      <c r="E188" s="172" t="s">
        <v>182</v>
      </c>
      <c r="F188" s="700" t="s">
        <v>1242</v>
      </c>
      <c r="G188" s="699" t="s">
        <v>937</v>
      </c>
      <c r="H188" s="244"/>
      <c r="I188" s="930"/>
      <c r="J188" s="174"/>
      <c r="K188" s="218"/>
      <c r="L188" s="549">
        <v>2</v>
      </c>
      <c r="M188" s="549"/>
      <c r="N188" s="794" t="s">
        <v>7</v>
      </c>
      <c r="O188" s="1531" t="s">
        <v>1221</v>
      </c>
      <c r="P188" s="310">
        <f>Test_Bible!P309</f>
        <v>7</v>
      </c>
      <c r="Q188" s="310">
        <f>Test_Bible!Q309</f>
        <v>14</v>
      </c>
      <c r="R188" s="310" t="s">
        <v>1613</v>
      </c>
      <c r="S188" s="316">
        <v>0.5</v>
      </c>
      <c r="T188" s="317">
        <v>0.5</v>
      </c>
      <c r="U188" s="342">
        <v>0</v>
      </c>
      <c r="V188" s="664" t="s">
        <v>310</v>
      </c>
      <c r="W188" s="8"/>
      <c r="X188" s="426"/>
      <c r="Y188" s="414"/>
      <c r="Z188" s="427"/>
      <c r="AC188" s="1052">
        <v>1</v>
      </c>
      <c r="AE188" s="1003" t="s">
        <v>24</v>
      </c>
      <c r="AF188" s="997" t="s">
        <v>525</v>
      </c>
      <c r="AG188" s="997"/>
      <c r="AH188" s="994"/>
      <c r="AI188" s="842"/>
      <c r="AJ188" s="1014" t="s">
        <v>574</v>
      </c>
    </row>
    <row r="189" spans="1:36" ht="52" customHeight="1" x14ac:dyDescent="0.2">
      <c r="D189" s="1273">
        <v>12</v>
      </c>
      <c r="E189" s="166" t="s">
        <v>183</v>
      </c>
      <c r="F189" s="700" t="s">
        <v>1410</v>
      </c>
      <c r="G189" s="185" t="s">
        <v>938</v>
      </c>
      <c r="H189" s="247"/>
      <c r="I189" s="934"/>
      <c r="J189" s="125" t="s">
        <v>67</v>
      </c>
      <c r="K189" s="216">
        <v>2</v>
      </c>
      <c r="L189" s="549">
        <v>2</v>
      </c>
      <c r="M189" s="549"/>
      <c r="N189" s="794" t="s">
        <v>3</v>
      </c>
      <c r="O189" s="272" t="s">
        <v>1113</v>
      </c>
      <c r="P189" s="310">
        <f>Test_Bible!P310</f>
        <v>7</v>
      </c>
      <c r="Q189" s="310">
        <f>Test_Bible!Q310</f>
        <v>14</v>
      </c>
      <c r="R189" s="310" t="s">
        <v>1614</v>
      </c>
      <c r="S189" s="315">
        <v>0.5</v>
      </c>
      <c r="T189" s="341">
        <v>0.5</v>
      </c>
      <c r="U189" s="342">
        <v>0</v>
      </c>
      <c r="V189" s="665" t="s">
        <v>2321</v>
      </c>
      <c r="W189" s="8"/>
      <c r="X189" s="426"/>
      <c r="Y189" s="423"/>
      <c r="Z189" s="428"/>
      <c r="AD189" s="1052">
        <v>1</v>
      </c>
      <c r="AE189" s="1007" t="s">
        <v>67</v>
      </c>
      <c r="AF189" s="1008"/>
      <c r="AG189" s="1008"/>
      <c r="AH189" s="1007" t="s">
        <v>67</v>
      </c>
      <c r="AI189" s="1009"/>
      <c r="AJ189" s="1010"/>
    </row>
    <row r="190" spans="1:36" ht="64" customHeight="1" x14ac:dyDescent="0.2">
      <c r="A190" s="174" t="s">
        <v>1373</v>
      </c>
      <c r="C190" s="775" t="s">
        <v>1289</v>
      </c>
      <c r="D190" s="1273">
        <v>13</v>
      </c>
      <c r="E190" s="172" t="s">
        <v>168</v>
      </c>
      <c r="F190" s="700" t="s">
        <v>1411</v>
      </c>
      <c r="G190" s="185" t="s">
        <v>918</v>
      </c>
      <c r="H190" s="247"/>
      <c r="I190" s="934"/>
      <c r="J190" s="125" t="s">
        <v>67</v>
      </c>
      <c r="K190" s="216"/>
      <c r="L190" s="549">
        <v>2</v>
      </c>
      <c r="M190" s="548">
        <v>3</v>
      </c>
      <c r="N190" s="794" t="s">
        <v>3</v>
      </c>
      <c r="O190" s="272" t="s">
        <v>1113</v>
      </c>
      <c r="P190" s="310">
        <f>Test_Bible!P311</f>
        <v>1</v>
      </c>
      <c r="Q190" s="310">
        <f>Test_Bible!Q311</f>
        <v>3</v>
      </c>
      <c r="R190" s="310" t="s">
        <v>1615</v>
      </c>
      <c r="S190" s="315">
        <v>0</v>
      </c>
      <c r="T190" s="341">
        <v>0</v>
      </c>
      <c r="U190" s="340">
        <v>1</v>
      </c>
      <c r="V190" s="653" t="s">
        <v>309</v>
      </c>
      <c r="W190" s="8"/>
      <c r="X190" s="426"/>
      <c r="Y190" s="423"/>
      <c r="Z190" s="428">
        <v>1</v>
      </c>
      <c r="AE190" s="1007" t="s">
        <v>67</v>
      </c>
      <c r="AF190" s="1008"/>
      <c r="AG190" s="1008"/>
      <c r="AH190" s="1007" t="s">
        <v>67</v>
      </c>
      <c r="AI190" s="1009"/>
      <c r="AJ190" s="1010"/>
    </row>
    <row r="191" spans="1:36" ht="54" customHeight="1" x14ac:dyDescent="0.2">
      <c r="D191" s="1273">
        <v>9</v>
      </c>
      <c r="E191" s="166" t="s">
        <v>184</v>
      </c>
      <c r="F191" s="700" t="s">
        <v>1243</v>
      </c>
      <c r="G191" s="185" t="s">
        <v>939</v>
      </c>
      <c r="H191" s="247"/>
      <c r="I191" s="934"/>
      <c r="J191" s="125"/>
      <c r="K191" s="216">
        <v>4</v>
      </c>
      <c r="L191" s="549">
        <v>2</v>
      </c>
      <c r="M191" s="549"/>
      <c r="N191" s="794" t="s">
        <v>3</v>
      </c>
      <c r="O191" s="272" t="s">
        <v>1113</v>
      </c>
      <c r="P191" s="310">
        <f>Test_Bible!P312</f>
        <v>2</v>
      </c>
      <c r="Q191" s="310">
        <f>Test_Bible!Q312</f>
        <v>4</v>
      </c>
      <c r="R191" s="310" t="s">
        <v>1616</v>
      </c>
      <c r="S191" s="315">
        <v>1</v>
      </c>
      <c r="T191" s="341">
        <v>0</v>
      </c>
      <c r="U191" s="342">
        <v>0</v>
      </c>
      <c r="V191" s="665" t="s">
        <v>2321</v>
      </c>
      <c r="W191" s="8"/>
      <c r="X191" s="426"/>
      <c r="Y191" s="423"/>
      <c r="Z191" s="428"/>
      <c r="AD191" s="1052">
        <v>1</v>
      </c>
      <c r="AE191" s="1003" t="s">
        <v>24</v>
      </c>
      <c r="AF191" s="1012" t="s">
        <v>526</v>
      </c>
      <c r="AG191" s="1012"/>
      <c r="AH191" s="1007" t="s">
        <v>67</v>
      </c>
      <c r="AI191" s="1009"/>
      <c r="AJ191" s="1010"/>
    </row>
    <row r="192" spans="1:36" ht="57" customHeight="1" x14ac:dyDescent="0.2">
      <c r="B192" s="99" t="s">
        <v>735</v>
      </c>
      <c r="D192" s="1273">
        <v>10</v>
      </c>
      <c r="E192" s="167" t="s">
        <v>315</v>
      </c>
      <c r="F192" s="698" t="s">
        <v>433</v>
      </c>
      <c r="G192" s="946" t="s">
        <v>940</v>
      </c>
      <c r="H192" s="233" t="s">
        <v>186</v>
      </c>
      <c r="I192" s="931"/>
      <c r="J192" s="127" t="s">
        <v>50</v>
      </c>
      <c r="K192" s="207"/>
      <c r="L192" s="1573"/>
      <c r="M192" s="1574"/>
      <c r="N192" s="794" t="s">
        <v>187</v>
      </c>
      <c r="O192" s="272"/>
      <c r="P192" s="304"/>
      <c r="Q192" s="304"/>
      <c r="R192" s="304"/>
      <c r="S192" s="315" t="s">
        <v>34</v>
      </c>
      <c r="T192" s="339" t="s">
        <v>34</v>
      </c>
      <c r="U192" s="342" t="s">
        <v>34</v>
      </c>
      <c r="V192" s="665" t="s">
        <v>2321</v>
      </c>
      <c r="W192" s="8"/>
      <c r="X192" s="426"/>
      <c r="Y192" s="423"/>
      <c r="Z192" s="428"/>
      <c r="AD192" s="1052">
        <v>1</v>
      </c>
      <c r="AE192" s="1003"/>
      <c r="AF192" s="1008"/>
      <c r="AG192" s="1008"/>
      <c r="AH192" s="1003"/>
      <c r="AI192" s="1009"/>
      <c r="AJ192" s="1010"/>
    </row>
    <row r="193" spans="1:36" ht="68" customHeight="1" x14ac:dyDescent="0.2">
      <c r="B193" s="99" t="s">
        <v>1160</v>
      </c>
      <c r="D193" s="1273">
        <v>11</v>
      </c>
      <c r="E193" s="167" t="s">
        <v>1159</v>
      </c>
      <c r="F193" s="698" t="s">
        <v>1412</v>
      </c>
      <c r="G193" s="946" t="s">
        <v>941</v>
      </c>
      <c r="H193" s="241"/>
      <c r="I193" s="931"/>
      <c r="J193" s="127" t="s">
        <v>50</v>
      </c>
      <c r="K193" s="207"/>
      <c r="L193" s="549">
        <v>3</v>
      </c>
      <c r="M193" s="549"/>
      <c r="N193" s="794" t="s">
        <v>3</v>
      </c>
      <c r="O193" s="272" t="s">
        <v>1113</v>
      </c>
      <c r="P193" s="310">
        <f>Test_Bible!P320</f>
        <v>0</v>
      </c>
      <c r="Q193" s="310">
        <f>Test_Bible!Q320</f>
        <v>0</v>
      </c>
      <c r="R193" s="310" t="s">
        <v>1617</v>
      </c>
      <c r="S193" s="315">
        <v>0</v>
      </c>
      <c r="T193" s="341">
        <v>0.5</v>
      </c>
      <c r="U193" s="342">
        <v>0.5</v>
      </c>
      <c r="V193" s="665" t="s">
        <v>2321</v>
      </c>
      <c r="W193" s="8"/>
      <c r="X193" s="426"/>
      <c r="Y193" s="423"/>
      <c r="Z193" s="429"/>
      <c r="AA193" s="140"/>
      <c r="AD193" s="1052">
        <v>1</v>
      </c>
      <c r="AE193" s="1037" t="s">
        <v>67</v>
      </c>
      <c r="AF193" s="1004"/>
      <c r="AG193" s="1004"/>
      <c r="AH193" s="1003" t="s">
        <v>25</v>
      </c>
      <c r="AI193" s="1009"/>
      <c r="AJ193" s="1038"/>
    </row>
    <row r="194" spans="1:36" ht="63" customHeight="1" x14ac:dyDescent="0.2">
      <c r="D194" s="1273">
        <v>39</v>
      </c>
      <c r="E194" s="166" t="s">
        <v>185</v>
      </c>
      <c r="F194" s="700" t="s">
        <v>1413</v>
      </c>
      <c r="G194" s="185" t="s">
        <v>942</v>
      </c>
      <c r="H194" s="247"/>
      <c r="I194" s="934"/>
      <c r="J194" s="125" t="s">
        <v>67</v>
      </c>
      <c r="K194" s="216"/>
      <c r="L194" s="549">
        <v>2</v>
      </c>
      <c r="M194" s="549"/>
      <c r="N194" s="794" t="s">
        <v>3</v>
      </c>
      <c r="O194" s="272" t="s">
        <v>1113</v>
      </c>
      <c r="P194" s="310">
        <f>Test_Bible!P321</f>
        <v>2</v>
      </c>
      <c r="Q194" s="310">
        <f>Test_Bible!Q321</f>
        <v>4</v>
      </c>
      <c r="R194" s="310" t="s">
        <v>1618</v>
      </c>
      <c r="S194" s="335">
        <v>1</v>
      </c>
      <c r="T194" s="341">
        <v>0</v>
      </c>
      <c r="U194" s="342">
        <v>0</v>
      </c>
      <c r="V194" s="665" t="s">
        <v>2321</v>
      </c>
      <c r="W194" s="8"/>
      <c r="X194" s="426"/>
      <c r="Y194" s="423"/>
      <c r="Z194" s="428"/>
      <c r="AD194" s="1052">
        <v>1</v>
      </c>
      <c r="AE194" s="1007" t="s">
        <v>67</v>
      </c>
      <c r="AF194" s="1008"/>
      <c r="AG194" s="1008"/>
      <c r="AH194" s="1007" t="s">
        <v>67</v>
      </c>
      <c r="AI194" s="1009"/>
      <c r="AJ194" s="1010"/>
    </row>
    <row r="195" spans="1:36" ht="82" customHeight="1" x14ac:dyDescent="0.2">
      <c r="A195" s="16"/>
      <c r="D195" s="1273">
        <v>40</v>
      </c>
      <c r="E195" s="166" t="s">
        <v>188</v>
      </c>
      <c r="F195" s="700" t="s">
        <v>1827</v>
      </c>
      <c r="G195" s="185" t="s">
        <v>943</v>
      </c>
      <c r="H195" s="247"/>
      <c r="I195" s="934"/>
      <c r="J195" s="125"/>
      <c r="K195" s="216">
        <v>4</v>
      </c>
      <c r="L195" s="549">
        <v>2</v>
      </c>
      <c r="M195" s="549"/>
      <c r="N195" s="794" t="s">
        <v>121</v>
      </c>
      <c r="O195" s="1531" t="s">
        <v>1205</v>
      </c>
      <c r="P195" s="310">
        <f>Test_Bible!P322</f>
        <v>1</v>
      </c>
      <c r="Q195" s="310">
        <f>Test_Bible!Q322</f>
        <v>2</v>
      </c>
      <c r="R195" s="310" t="s">
        <v>1619</v>
      </c>
      <c r="S195" s="335">
        <v>1</v>
      </c>
      <c r="T195" s="341">
        <v>0</v>
      </c>
      <c r="U195" s="342">
        <v>0</v>
      </c>
      <c r="V195" s="665" t="s">
        <v>2321</v>
      </c>
      <c r="W195" s="8"/>
      <c r="X195" s="426"/>
      <c r="Y195" s="423"/>
      <c r="Z195" s="428"/>
      <c r="AD195" s="1052">
        <v>1</v>
      </c>
      <c r="AE195" s="1007" t="s">
        <v>67</v>
      </c>
      <c r="AF195" s="1008"/>
      <c r="AG195" s="1008"/>
      <c r="AH195" s="1007" t="s">
        <v>67</v>
      </c>
      <c r="AI195" s="1009"/>
      <c r="AJ195" s="1010"/>
    </row>
    <row r="196" spans="1:36" ht="71" customHeight="1" x14ac:dyDescent="0.2">
      <c r="B196" s="99" t="s">
        <v>736</v>
      </c>
      <c r="D196" s="1273">
        <v>41</v>
      </c>
      <c r="E196" s="556" t="s">
        <v>469</v>
      </c>
      <c r="F196" s="698" t="s">
        <v>1244</v>
      </c>
      <c r="G196" s="697" t="s">
        <v>944</v>
      </c>
      <c r="H196" s="249"/>
      <c r="I196" s="935"/>
      <c r="J196" s="127" t="s">
        <v>50</v>
      </c>
      <c r="K196" s="216"/>
      <c r="L196" s="548">
        <v>3</v>
      </c>
      <c r="M196" s="548"/>
      <c r="N196" s="794" t="s">
        <v>121</v>
      </c>
      <c r="O196" s="1531" t="s">
        <v>1205</v>
      </c>
      <c r="P196" s="310">
        <f>Test_Bible!P323</f>
        <v>0</v>
      </c>
      <c r="Q196" s="310">
        <f>Test_Bible!Q323</f>
        <v>0</v>
      </c>
      <c r="R196" s="310" t="s">
        <v>1620</v>
      </c>
      <c r="S196" s="315">
        <v>1</v>
      </c>
      <c r="T196" s="341">
        <v>0</v>
      </c>
      <c r="U196" s="342">
        <v>0</v>
      </c>
      <c r="V196" s="665" t="s">
        <v>2321</v>
      </c>
      <c r="W196" s="8"/>
      <c r="X196" s="426"/>
      <c r="Y196" s="423"/>
      <c r="Z196" s="429"/>
      <c r="AA196" s="140"/>
      <c r="AD196" s="1052">
        <v>1</v>
      </c>
      <c r="AE196" s="1037" t="s">
        <v>67</v>
      </c>
      <c r="AF196" s="1004"/>
      <c r="AG196" s="1004"/>
      <c r="AH196" s="1039" t="s">
        <v>67</v>
      </c>
      <c r="AI196" s="1009"/>
      <c r="AJ196" s="1038"/>
    </row>
    <row r="197" spans="1:36" ht="73" customHeight="1" x14ac:dyDescent="0.2">
      <c r="A197" s="174" t="s">
        <v>1156</v>
      </c>
      <c r="C197" s="775" t="s">
        <v>1190</v>
      </c>
      <c r="D197" s="1273">
        <v>34</v>
      </c>
      <c r="E197" s="166" t="s">
        <v>189</v>
      </c>
      <c r="F197" s="700" t="s">
        <v>1414</v>
      </c>
      <c r="G197" s="185" t="s">
        <v>945</v>
      </c>
      <c r="H197" s="247"/>
      <c r="I197" s="934"/>
      <c r="J197" s="125" t="s">
        <v>67</v>
      </c>
      <c r="K197" s="216"/>
      <c r="L197" s="549">
        <v>2</v>
      </c>
      <c r="M197" s="548">
        <v>3</v>
      </c>
      <c r="N197" s="794" t="s">
        <v>3</v>
      </c>
      <c r="O197" s="272" t="s">
        <v>1113</v>
      </c>
      <c r="P197" s="310">
        <f>Test_Bible!P324</f>
        <v>0</v>
      </c>
      <c r="Q197" s="310">
        <f>Test_Bible!Q324</f>
        <v>0</v>
      </c>
      <c r="R197" s="310" t="s">
        <v>1621</v>
      </c>
      <c r="S197" s="315">
        <v>0.5</v>
      </c>
      <c r="T197" s="341">
        <v>0</v>
      </c>
      <c r="U197" s="342">
        <v>0.5</v>
      </c>
      <c r="V197" s="665" t="s">
        <v>2321</v>
      </c>
      <c r="W197" s="8"/>
      <c r="X197" s="426"/>
      <c r="Y197" s="423"/>
      <c r="Z197" s="428"/>
      <c r="AD197" s="1052">
        <v>1</v>
      </c>
      <c r="AE197" s="1007" t="s">
        <v>67</v>
      </c>
      <c r="AF197" s="1008"/>
      <c r="AG197" s="1008"/>
      <c r="AH197" s="1007" t="s">
        <v>67</v>
      </c>
      <c r="AI197" s="1009"/>
      <c r="AJ197" s="1010"/>
    </row>
    <row r="198" spans="1:36" ht="72" customHeight="1" x14ac:dyDescent="0.2">
      <c r="A198" s="1935" t="s">
        <v>1812</v>
      </c>
      <c r="D198" s="1273">
        <v>55</v>
      </c>
      <c r="E198" s="166" t="s">
        <v>190</v>
      </c>
      <c r="F198" s="700" t="s">
        <v>1415</v>
      </c>
      <c r="G198" s="185" t="s">
        <v>947</v>
      </c>
      <c r="H198" s="247"/>
      <c r="I198" s="934"/>
      <c r="J198" s="125" t="s">
        <v>67</v>
      </c>
      <c r="K198" s="216"/>
      <c r="L198" s="549">
        <v>2</v>
      </c>
      <c r="M198" s="549"/>
      <c r="N198" s="794" t="s">
        <v>3</v>
      </c>
      <c r="O198" s="272" t="s">
        <v>1113</v>
      </c>
      <c r="P198" s="310">
        <f>Test_Bible!P325</f>
        <v>0</v>
      </c>
      <c r="Q198" s="310">
        <f>Test_Bible!Q325</f>
        <v>0</v>
      </c>
      <c r="R198" s="310" t="s">
        <v>1622</v>
      </c>
      <c r="S198" s="315">
        <v>0</v>
      </c>
      <c r="T198" s="341">
        <v>0.5</v>
      </c>
      <c r="U198" s="342">
        <v>0.5</v>
      </c>
      <c r="V198" s="665" t="s">
        <v>2321</v>
      </c>
      <c r="W198" s="8"/>
      <c r="X198" s="426"/>
      <c r="Y198" s="423"/>
      <c r="Z198" s="428"/>
      <c r="AD198" s="1052">
        <v>1</v>
      </c>
      <c r="AE198" s="1007" t="s">
        <v>67</v>
      </c>
      <c r="AF198" s="1008"/>
      <c r="AG198" s="1008"/>
      <c r="AH198" s="1007" t="s">
        <v>67</v>
      </c>
      <c r="AI198" s="1009"/>
      <c r="AJ198" s="1010"/>
    </row>
    <row r="199" spans="1:36" ht="78" customHeight="1" x14ac:dyDescent="0.2">
      <c r="A199" s="174" t="s">
        <v>1156</v>
      </c>
      <c r="D199" s="1273">
        <v>35</v>
      </c>
      <c r="E199" s="166" t="s">
        <v>191</v>
      </c>
      <c r="F199" s="700" t="s">
        <v>1416</v>
      </c>
      <c r="G199" s="185" t="s">
        <v>948</v>
      </c>
      <c r="H199" s="247"/>
      <c r="I199" s="934"/>
      <c r="J199" s="125"/>
      <c r="K199" s="216">
        <v>4</v>
      </c>
      <c r="L199" s="548">
        <v>3</v>
      </c>
      <c r="M199" s="548"/>
      <c r="N199" s="794" t="s">
        <v>3</v>
      </c>
      <c r="O199" s="272" t="s">
        <v>1113</v>
      </c>
      <c r="P199" s="310">
        <f>Test_Bible!P326</f>
        <v>0</v>
      </c>
      <c r="Q199" s="310">
        <f>Test_Bible!Q326</f>
        <v>0</v>
      </c>
      <c r="R199" s="310" t="s">
        <v>2043</v>
      </c>
      <c r="S199" s="315">
        <v>0</v>
      </c>
      <c r="T199" s="341">
        <v>0</v>
      </c>
      <c r="U199" s="342">
        <v>1</v>
      </c>
      <c r="V199" s="665" t="s">
        <v>2321</v>
      </c>
      <c r="W199" s="8"/>
      <c r="X199" s="426"/>
      <c r="Y199" s="423"/>
      <c r="Z199" s="428"/>
      <c r="AD199" s="1052">
        <v>1</v>
      </c>
      <c r="AE199" s="1007" t="s">
        <v>67</v>
      </c>
      <c r="AF199" s="1008"/>
      <c r="AG199" s="1008"/>
      <c r="AH199" s="1007" t="s">
        <v>67</v>
      </c>
      <c r="AI199" s="1009"/>
      <c r="AJ199" s="1010"/>
    </row>
    <row r="200" spans="1:36" ht="75" customHeight="1" x14ac:dyDescent="0.2">
      <c r="B200" s="99" t="s">
        <v>737</v>
      </c>
      <c r="D200" s="1273">
        <v>36</v>
      </c>
      <c r="E200" s="167" t="s">
        <v>316</v>
      </c>
      <c r="F200" s="698" t="s">
        <v>1417</v>
      </c>
      <c r="G200" s="946" t="s">
        <v>949</v>
      </c>
      <c r="H200" s="241"/>
      <c r="I200" s="931"/>
      <c r="J200" s="127" t="s">
        <v>50</v>
      </c>
      <c r="K200" s="207"/>
      <c r="L200" s="549">
        <v>2</v>
      </c>
      <c r="M200" s="549"/>
      <c r="N200" s="794" t="s">
        <v>3</v>
      </c>
      <c r="O200" s="272" t="s">
        <v>1113</v>
      </c>
      <c r="P200" s="310">
        <f>Test_Bible!P327</f>
        <v>0</v>
      </c>
      <c r="Q200" s="310">
        <f>Test_Bible!Q327</f>
        <v>0</v>
      </c>
      <c r="R200" s="310" t="s">
        <v>1623</v>
      </c>
      <c r="S200" s="315">
        <v>1</v>
      </c>
      <c r="T200" s="341">
        <v>0</v>
      </c>
      <c r="U200" s="342">
        <v>0</v>
      </c>
      <c r="V200" s="665" t="s">
        <v>2321</v>
      </c>
      <c r="W200" s="8"/>
      <c r="X200" s="426"/>
      <c r="Y200" s="423"/>
      <c r="Z200" s="428"/>
      <c r="AD200" s="1052">
        <v>1</v>
      </c>
      <c r="AE200" s="1007" t="s">
        <v>67</v>
      </c>
      <c r="AF200" s="1008"/>
      <c r="AG200" s="1008"/>
      <c r="AH200" s="1007" t="s">
        <v>67</v>
      </c>
      <c r="AI200" s="1009"/>
      <c r="AJ200" s="1010"/>
    </row>
    <row r="201" spans="1:36" ht="75" customHeight="1" x14ac:dyDescent="0.2">
      <c r="B201" s="99" t="s">
        <v>737</v>
      </c>
      <c r="D201" s="1273">
        <v>37</v>
      </c>
      <c r="E201" s="167" t="s">
        <v>317</v>
      </c>
      <c r="F201" s="698" t="s">
        <v>1418</v>
      </c>
      <c r="G201" s="946" t="s">
        <v>950</v>
      </c>
      <c r="H201" s="241"/>
      <c r="I201" s="931"/>
      <c r="J201" s="127" t="s">
        <v>50</v>
      </c>
      <c r="K201" s="207"/>
      <c r="L201" s="548">
        <v>3</v>
      </c>
      <c r="M201" s="548"/>
      <c r="N201" s="794" t="s">
        <v>3</v>
      </c>
      <c r="O201" s="272" t="s">
        <v>1113</v>
      </c>
      <c r="P201" s="310">
        <f>Test_Bible!P328</f>
        <v>0</v>
      </c>
      <c r="Q201" s="310">
        <f>Test_Bible!Q328</f>
        <v>0</v>
      </c>
      <c r="R201" s="310" t="s">
        <v>1624</v>
      </c>
      <c r="S201" s="315">
        <v>1</v>
      </c>
      <c r="T201" s="341">
        <v>0</v>
      </c>
      <c r="U201" s="342">
        <v>0</v>
      </c>
      <c r="V201" s="665" t="s">
        <v>2321</v>
      </c>
      <c r="W201" s="8"/>
      <c r="X201" s="426"/>
      <c r="Y201" s="423"/>
      <c r="Z201" s="429"/>
      <c r="AA201" s="140"/>
      <c r="AD201" s="1052">
        <v>1</v>
      </c>
      <c r="AE201" s="1037" t="s">
        <v>67</v>
      </c>
      <c r="AF201" s="1004"/>
      <c r="AG201" s="1004"/>
      <c r="AH201" s="1039" t="s">
        <v>67</v>
      </c>
      <c r="AI201" s="1009"/>
      <c r="AJ201" s="1038"/>
    </row>
    <row r="202" spans="1:36" ht="72" customHeight="1" x14ac:dyDescent="0.2">
      <c r="A202" s="174" t="s">
        <v>1158</v>
      </c>
      <c r="C202" s="775" t="s">
        <v>790</v>
      </c>
      <c r="D202" s="1273">
        <v>56</v>
      </c>
      <c r="E202" s="169" t="s">
        <v>192</v>
      </c>
      <c r="F202" s="700" t="s">
        <v>1419</v>
      </c>
      <c r="G202" s="185" t="s">
        <v>951</v>
      </c>
      <c r="H202" s="247"/>
      <c r="I202" s="934"/>
      <c r="J202" s="125" t="s">
        <v>67</v>
      </c>
      <c r="K202" s="216"/>
      <c r="L202" s="549">
        <v>2</v>
      </c>
      <c r="M202" s="548">
        <v>3</v>
      </c>
      <c r="N202" s="794" t="s">
        <v>3</v>
      </c>
      <c r="O202" s="272" t="s">
        <v>1113</v>
      </c>
      <c r="P202" s="310">
        <f>Test_Bible!P329</f>
        <v>2</v>
      </c>
      <c r="Q202" s="310">
        <f>Test_Bible!Q329</f>
        <v>6</v>
      </c>
      <c r="R202" s="310" t="s">
        <v>1625</v>
      </c>
      <c r="S202" s="315">
        <v>1</v>
      </c>
      <c r="T202" s="341">
        <v>0</v>
      </c>
      <c r="U202" s="342">
        <v>0</v>
      </c>
      <c r="V202" s="665" t="s">
        <v>2321</v>
      </c>
      <c r="W202" s="8"/>
      <c r="X202" s="426"/>
      <c r="Y202" s="423"/>
      <c r="Z202" s="429"/>
      <c r="AA202" s="140"/>
      <c r="AD202" s="1052">
        <v>1</v>
      </c>
      <c r="AE202" s="1003" t="s">
        <v>24</v>
      </c>
      <c r="AF202" s="1034" t="s">
        <v>531</v>
      </c>
      <c r="AG202" s="1004"/>
      <c r="AH202" s="1003" t="s">
        <v>25</v>
      </c>
      <c r="AI202" s="1005" t="s">
        <v>532</v>
      </c>
      <c r="AJ202" s="1034" t="s">
        <v>531</v>
      </c>
    </row>
    <row r="203" spans="1:36" ht="102" x14ac:dyDescent="0.2">
      <c r="A203" s="174" t="s">
        <v>1158</v>
      </c>
      <c r="D203" s="1273">
        <v>44</v>
      </c>
      <c r="E203" s="170" t="s">
        <v>193</v>
      </c>
      <c r="F203" s="700" t="s">
        <v>1245</v>
      </c>
      <c r="G203" s="699" t="s">
        <v>952</v>
      </c>
      <c r="H203" s="250"/>
      <c r="I203" s="936"/>
      <c r="J203" s="126" t="s">
        <v>1304</v>
      </c>
      <c r="K203" s="170"/>
      <c r="L203" s="555"/>
      <c r="M203" s="555"/>
      <c r="N203" s="794" t="s">
        <v>19</v>
      </c>
      <c r="O203" s="583" t="s">
        <v>1246</v>
      </c>
      <c r="P203" s="310"/>
      <c r="Q203" s="310"/>
      <c r="R203" s="310"/>
      <c r="S203" s="315"/>
      <c r="T203" s="341"/>
      <c r="U203" s="342"/>
      <c r="V203" s="665"/>
      <c r="W203" s="8"/>
      <c r="X203" s="426"/>
      <c r="Y203" s="423"/>
      <c r="Z203" s="429"/>
      <c r="AA203" s="140"/>
      <c r="AD203" s="1052"/>
      <c r="AE203" s="1037"/>
      <c r="AF203" s="1004"/>
      <c r="AG203" s="1004"/>
      <c r="AH203" s="1039" t="s">
        <v>67</v>
      </c>
      <c r="AI203" s="1009"/>
      <c r="AJ203" s="1038"/>
    </row>
    <row r="204" spans="1:36" ht="85" customHeight="1" x14ac:dyDescent="0.2">
      <c r="A204" s="16"/>
      <c r="B204" s="99" t="s">
        <v>1514</v>
      </c>
      <c r="D204" s="1273">
        <v>45</v>
      </c>
      <c r="E204" s="171" t="s">
        <v>470</v>
      </c>
      <c r="F204" s="698" t="s">
        <v>1247</v>
      </c>
      <c r="G204" s="697"/>
      <c r="H204" s="251"/>
      <c r="I204" s="697"/>
      <c r="J204" s="509"/>
      <c r="K204" s="171"/>
      <c r="L204" s="555">
        <v>1</v>
      </c>
      <c r="M204" s="555"/>
      <c r="N204" s="794" t="s">
        <v>3</v>
      </c>
      <c r="O204" s="272" t="s">
        <v>1113</v>
      </c>
      <c r="P204" s="310">
        <f>Test_Bible!P337</f>
        <v>0</v>
      </c>
      <c r="Q204" s="310">
        <f>Test_Bible!Q337</f>
        <v>0</v>
      </c>
      <c r="R204" s="310" t="s">
        <v>1626</v>
      </c>
      <c r="S204" s="315">
        <v>1</v>
      </c>
      <c r="T204" s="341">
        <v>0</v>
      </c>
      <c r="U204" s="342">
        <v>0</v>
      </c>
      <c r="V204" s="665" t="s">
        <v>2321</v>
      </c>
      <c r="W204" s="8"/>
      <c r="X204" s="426"/>
      <c r="Y204" s="423"/>
      <c r="Z204" s="429"/>
      <c r="AA204" s="140"/>
      <c r="AD204" s="1052">
        <v>1</v>
      </c>
      <c r="AE204" s="1037"/>
      <c r="AF204" s="1004"/>
      <c r="AG204" s="1004"/>
      <c r="AH204" s="1039"/>
      <c r="AI204" s="1009"/>
      <c r="AJ204" s="1038"/>
    </row>
    <row r="205" spans="1:36" ht="82" customHeight="1" x14ac:dyDescent="0.2">
      <c r="B205" s="99" t="s">
        <v>1514</v>
      </c>
      <c r="D205" s="1273">
        <v>46</v>
      </c>
      <c r="E205" s="171" t="s">
        <v>1118</v>
      </c>
      <c r="F205" s="698" t="s">
        <v>1248</v>
      </c>
      <c r="G205" s="697" t="s">
        <v>953</v>
      </c>
      <c r="H205" s="251"/>
      <c r="I205" s="697"/>
      <c r="J205" s="126" t="s">
        <v>1304</v>
      </c>
      <c r="K205" s="171"/>
      <c r="L205" s="555">
        <v>1</v>
      </c>
      <c r="M205" s="555"/>
      <c r="N205" s="794" t="s">
        <v>4</v>
      </c>
      <c r="O205" s="272" t="s">
        <v>5</v>
      </c>
      <c r="P205" s="310">
        <f>Test_Bible!P337</f>
        <v>0</v>
      </c>
      <c r="Q205" s="310">
        <f>Test_Bible!Q337</f>
        <v>0</v>
      </c>
      <c r="R205" s="310"/>
      <c r="S205" s="315" t="s">
        <v>34</v>
      </c>
      <c r="T205" s="339" t="s">
        <v>34</v>
      </c>
      <c r="U205" s="342" t="s">
        <v>34</v>
      </c>
      <c r="V205" s="665" t="s">
        <v>2321</v>
      </c>
      <c r="W205" s="8"/>
      <c r="X205" s="426"/>
      <c r="Y205" s="423"/>
      <c r="Z205" s="429"/>
      <c r="AA205" s="140"/>
      <c r="AD205" s="1052">
        <v>1</v>
      </c>
      <c r="AE205" s="1037"/>
      <c r="AF205" s="1004"/>
      <c r="AG205" s="1004"/>
      <c r="AH205" s="845" t="s">
        <v>512</v>
      </c>
      <c r="AI205" s="1009"/>
      <c r="AJ205" s="1038"/>
    </row>
    <row r="206" spans="1:36" ht="49" customHeight="1" x14ac:dyDescent="0.2">
      <c r="D206" s="1273">
        <v>57</v>
      </c>
      <c r="E206" s="172" t="s">
        <v>194</v>
      </c>
      <c r="F206" s="700" t="s">
        <v>954</v>
      </c>
      <c r="G206" s="699" t="s">
        <v>955</v>
      </c>
      <c r="H206" s="252"/>
      <c r="I206" s="937"/>
      <c r="J206" s="143" t="s">
        <v>195</v>
      </c>
      <c r="K206" s="170"/>
      <c r="L206" s="555">
        <v>0</v>
      </c>
      <c r="M206" s="555"/>
      <c r="N206" s="794" t="s">
        <v>46</v>
      </c>
      <c r="O206" s="272"/>
      <c r="P206" s="304"/>
      <c r="Q206" s="304"/>
      <c r="R206" s="304"/>
      <c r="S206" s="315" t="s">
        <v>34</v>
      </c>
      <c r="T206" s="339" t="s">
        <v>34</v>
      </c>
      <c r="U206" s="342" t="s">
        <v>34</v>
      </c>
      <c r="V206" s="665" t="s">
        <v>2321</v>
      </c>
      <c r="W206" s="8"/>
      <c r="X206" s="426"/>
      <c r="Y206" s="423"/>
      <c r="Z206" s="429"/>
      <c r="AA206" s="140"/>
      <c r="AD206" s="1052">
        <v>1</v>
      </c>
      <c r="AE206" s="1037"/>
      <c r="AF206" s="1004"/>
      <c r="AG206" s="1004"/>
      <c r="AH206" s="1039"/>
      <c r="AI206" s="1009"/>
      <c r="AJ206" s="1038"/>
    </row>
    <row r="207" spans="1:36" ht="233" customHeight="1" x14ac:dyDescent="0.2">
      <c r="B207" s="99" t="s">
        <v>1473</v>
      </c>
      <c r="D207" s="1273"/>
      <c r="E207" s="168" t="s">
        <v>318</v>
      </c>
      <c r="F207" s="698" t="s">
        <v>438</v>
      </c>
      <c r="G207" s="697" t="s">
        <v>956</v>
      </c>
      <c r="H207" s="516" t="s">
        <v>423</v>
      </c>
      <c r="I207" s="938"/>
      <c r="J207" s="144" t="s">
        <v>1301</v>
      </c>
      <c r="K207" s="171"/>
      <c r="L207" s="555">
        <v>1</v>
      </c>
      <c r="M207" s="555"/>
      <c r="N207" s="794" t="s">
        <v>1374</v>
      </c>
      <c r="O207" s="272" t="s">
        <v>1113</v>
      </c>
      <c r="P207" s="304"/>
      <c r="Q207" s="304"/>
      <c r="R207" s="304"/>
      <c r="S207" s="315" t="s">
        <v>34</v>
      </c>
      <c r="T207" s="339" t="s">
        <v>34</v>
      </c>
      <c r="U207" s="342" t="s">
        <v>34</v>
      </c>
      <c r="V207" s="665" t="s">
        <v>2321</v>
      </c>
      <c r="W207" s="8"/>
      <c r="X207" s="426"/>
      <c r="Y207" s="414"/>
      <c r="Z207" s="427"/>
      <c r="AD207" s="1052">
        <v>1</v>
      </c>
      <c r="AE207" s="1003" t="s">
        <v>24</v>
      </c>
      <c r="AF207" s="1012" t="s">
        <v>503</v>
      </c>
      <c r="AG207" s="1012"/>
      <c r="AH207" s="1003" t="s">
        <v>25</v>
      </c>
      <c r="AI207" s="1034"/>
      <c r="AJ207" s="1013" t="s">
        <v>556</v>
      </c>
    </row>
    <row r="208" spans="1:36" s="7" customFormat="1" ht="187" x14ac:dyDescent="0.2">
      <c r="B208" s="99" t="s">
        <v>1297</v>
      </c>
      <c r="D208" s="1273"/>
      <c r="E208" s="1572" t="s">
        <v>1302</v>
      </c>
      <c r="F208" s="698" t="s">
        <v>439</v>
      </c>
      <c r="G208" s="698" t="s">
        <v>439</v>
      </c>
      <c r="H208" s="516" t="s">
        <v>423</v>
      </c>
      <c r="I208" s="938"/>
      <c r="J208" s="144" t="s">
        <v>1303</v>
      </c>
      <c r="K208" s="199"/>
      <c r="L208" s="555">
        <v>1</v>
      </c>
      <c r="M208" s="555"/>
      <c r="N208" s="794" t="s">
        <v>1374</v>
      </c>
      <c r="O208" s="272" t="s">
        <v>1113</v>
      </c>
      <c r="P208" s="304"/>
      <c r="Q208" s="304"/>
      <c r="R208" s="304"/>
      <c r="S208" s="315" t="s">
        <v>34</v>
      </c>
      <c r="T208" s="339" t="s">
        <v>34</v>
      </c>
      <c r="U208" s="342" t="s">
        <v>34</v>
      </c>
      <c r="V208" s="665" t="s">
        <v>2321</v>
      </c>
      <c r="W208" s="419"/>
      <c r="X208" s="419"/>
      <c r="Y208" s="44"/>
      <c r="Z208" s="44"/>
      <c r="AA208" s="42"/>
      <c r="AB208" s="42"/>
      <c r="AC208" s="42"/>
      <c r="AD208" s="1052">
        <v>1</v>
      </c>
      <c r="AE208" s="994"/>
      <c r="AF208" s="995"/>
      <c r="AG208" s="995"/>
      <c r="AH208" s="994"/>
      <c r="AI208" s="842"/>
      <c r="AJ208" s="844"/>
    </row>
    <row r="209" spans="1:36" s="7" customFormat="1" ht="59" customHeight="1" x14ac:dyDescent="0.2">
      <c r="C209" s="1504"/>
      <c r="D209" s="1631">
        <v>18</v>
      </c>
      <c r="E209" s="1304" t="s">
        <v>1047</v>
      </c>
      <c r="F209" s="890" t="s">
        <v>1249</v>
      </c>
      <c r="G209" s="1304"/>
      <c r="H209" s="1304"/>
      <c r="I209" s="1304"/>
      <c r="J209" s="1304"/>
      <c r="K209" s="1304">
        <v>4</v>
      </c>
      <c r="L209" s="1305">
        <v>2</v>
      </c>
      <c r="M209" s="1306"/>
      <c r="N209" s="794" t="s">
        <v>3</v>
      </c>
      <c r="O209" s="272" t="s">
        <v>1113</v>
      </c>
      <c r="P209" s="310">
        <f>Test_Bible!P329</f>
        <v>2</v>
      </c>
      <c r="Q209" s="310">
        <f>Test_Bible!Q329</f>
        <v>6</v>
      </c>
      <c r="R209" s="310" t="s">
        <v>2044</v>
      </c>
      <c r="S209" s="598">
        <v>1</v>
      </c>
      <c r="T209" s="1293">
        <v>0</v>
      </c>
      <c r="U209" s="1294">
        <v>0</v>
      </c>
      <c r="V209" s="1295" t="s">
        <v>2321</v>
      </c>
      <c r="W209" s="424"/>
      <c r="X209" s="424"/>
      <c r="Y209" s="423"/>
      <c r="Z209" s="857"/>
      <c r="AA209" s="42"/>
      <c r="AB209" s="42"/>
      <c r="AC209" s="42"/>
      <c r="AD209" s="1052">
        <v>1</v>
      </c>
      <c r="AE209" s="531"/>
      <c r="AF209" s="995"/>
      <c r="AG209" s="995"/>
      <c r="AH209" s="994"/>
      <c r="AI209" s="842"/>
      <c r="AJ209" s="844"/>
    </row>
    <row r="210" spans="1:36" s="7" customFormat="1" ht="56" customHeight="1" x14ac:dyDescent="0.2">
      <c r="B210" s="99" t="s">
        <v>1191</v>
      </c>
      <c r="C210" s="1504"/>
      <c r="D210" s="1631">
        <v>19</v>
      </c>
      <c r="E210" s="1308" t="s">
        <v>1048</v>
      </c>
      <c r="F210" s="1307" t="s">
        <v>1084</v>
      </c>
      <c r="G210" s="1307" t="s">
        <v>940</v>
      </c>
      <c r="H210" s="1307" t="s">
        <v>186</v>
      </c>
      <c r="I210" s="1307"/>
      <c r="J210" s="1307" t="s">
        <v>50</v>
      </c>
      <c r="K210" s="1307"/>
      <c r="L210" s="1305"/>
      <c r="M210" s="1306"/>
      <c r="N210" s="794" t="s">
        <v>164</v>
      </c>
      <c r="O210" s="272"/>
      <c r="P210" s="310">
        <f>Test_Bible!P372</f>
        <v>5</v>
      </c>
      <c r="Q210" s="310">
        <f>Test_Bible!Q372</f>
        <v>0</v>
      </c>
      <c r="R210" s="310"/>
      <c r="S210" s="598" t="s">
        <v>34</v>
      </c>
      <c r="T210" s="599" t="s">
        <v>34</v>
      </c>
      <c r="U210" s="1294" t="s">
        <v>34</v>
      </c>
      <c r="V210" s="1295" t="s">
        <v>2321</v>
      </c>
      <c r="W210" s="424"/>
      <c r="X210" s="424"/>
      <c r="Y210" s="423"/>
      <c r="Z210" s="857"/>
      <c r="AA210" s="42"/>
      <c r="AB210" s="42"/>
      <c r="AC210" s="42"/>
      <c r="AD210" s="42"/>
      <c r="AE210" s="531"/>
      <c r="AF210" s="995"/>
      <c r="AG210" s="995"/>
      <c r="AH210" s="994"/>
      <c r="AI210" s="842"/>
      <c r="AJ210" s="844"/>
    </row>
    <row r="211" spans="1:36" s="7" customFormat="1" ht="40" customHeight="1" thickBot="1" x14ac:dyDescent="0.25">
      <c r="A211" s="287"/>
      <c r="B211" s="287"/>
      <c r="C211" s="287"/>
      <c r="D211" s="147" t="s">
        <v>1300</v>
      </c>
      <c r="E211" s="1296"/>
      <c r="F211" s="1297"/>
      <c r="G211" s="1296"/>
      <c r="H211" s="1297"/>
      <c r="I211" s="1297"/>
      <c r="J211" s="1298"/>
      <c r="K211" s="1298"/>
      <c r="L211" s="1298"/>
      <c r="M211" s="1298"/>
      <c r="N211" s="1299"/>
      <c r="O211" s="1525"/>
      <c r="P211" s="1299"/>
      <c r="Q211" s="1299"/>
      <c r="R211" s="1299"/>
      <c r="S211" s="1300"/>
      <c r="T211" s="1301"/>
      <c r="U211" s="1301"/>
      <c r="V211" s="1302"/>
      <c r="W211" s="424"/>
      <c r="X211" s="424"/>
      <c r="Y211" s="423"/>
      <c r="Z211" s="857"/>
      <c r="AA211" s="42"/>
      <c r="AB211" s="42"/>
      <c r="AC211" s="42"/>
      <c r="AD211" s="42"/>
      <c r="AE211" s="531"/>
      <c r="AF211" s="995"/>
      <c r="AG211" s="995"/>
      <c r="AH211" s="994"/>
      <c r="AI211" s="842"/>
      <c r="AJ211" s="844"/>
    </row>
    <row r="212" spans="1:36" ht="40" customHeight="1" x14ac:dyDescent="0.25">
      <c r="C212" s="1571" t="s">
        <v>1042</v>
      </c>
      <c r="D212" s="1277">
        <v>18</v>
      </c>
      <c r="E212" s="173"/>
      <c r="F212" s="539"/>
      <c r="G212" s="508"/>
      <c r="H212" s="173"/>
      <c r="I212" s="390"/>
      <c r="J212" s="390"/>
      <c r="K212" s="173"/>
      <c r="L212" s="173"/>
      <c r="M212" s="508"/>
      <c r="N212" s="800"/>
      <c r="O212" s="1526"/>
      <c r="P212" s="300"/>
      <c r="Q212" s="300"/>
      <c r="R212" s="300"/>
      <c r="S212" s="314"/>
      <c r="T212" s="347"/>
      <c r="U212" s="401"/>
      <c r="V212" s="323"/>
      <c r="W212" s="425"/>
      <c r="X212" s="425"/>
      <c r="Z212" s="428"/>
      <c r="AE212" s="1003"/>
      <c r="AF212" s="1004"/>
      <c r="AG212" s="1004"/>
      <c r="AH212" s="1003"/>
      <c r="AI212" s="1005"/>
      <c r="AJ212" s="1006"/>
    </row>
    <row r="213" spans="1:36" ht="214" customHeight="1" x14ac:dyDescent="0.2">
      <c r="A213" s="514" t="s">
        <v>1298</v>
      </c>
      <c r="B213" s="25"/>
      <c r="C213" s="2479"/>
      <c r="D213" s="1277">
        <v>19</v>
      </c>
      <c r="E213" s="162" t="s">
        <v>1176</v>
      </c>
      <c r="F213" s="331" t="s">
        <v>1254</v>
      </c>
      <c r="G213" s="506" t="s">
        <v>957</v>
      </c>
      <c r="H213" s="479" t="s">
        <v>958</v>
      </c>
      <c r="I213" s="939" t="s">
        <v>959</v>
      </c>
      <c r="J213" s="150" t="s">
        <v>67</v>
      </c>
      <c r="K213" s="201"/>
      <c r="L213" s="201">
        <v>0</v>
      </c>
      <c r="M213" s="568"/>
      <c r="N213" s="801" t="s">
        <v>132</v>
      </c>
      <c r="O213" s="604" t="s">
        <v>1493</v>
      </c>
      <c r="P213" s="300"/>
      <c r="Q213" s="300"/>
      <c r="R213" s="300"/>
      <c r="S213" s="315">
        <v>1</v>
      </c>
      <c r="T213" s="339">
        <v>0</v>
      </c>
      <c r="U213" s="339">
        <v>0</v>
      </c>
      <c r="V213" s="160" t="s">
        <v>309</v>
      </c>
      <c r="W213" s="425"/>
      <c r="X213" s="425"/>
      <c r="Z213" s="434"/>
      <c r="AE213" s="1007" t="s">
        <v>24</v>
      </c>
      <c r="AF213" s="1012" t="s">
        <v>504</v>
      </c>
      <c r="AG213" s="1012"/>
      <c r="AH213" s="1007" t="s">
        <v>67</v>
      </c>
      <c r="AI213" s="1009"/>
      <c r="AJ213" s="1010"/>
    </row>
    <row r="214" spans="1:36" ht="214" customHeight="1" thickBot="1" x14ac:dyDescent="0.25">
      <c r="A214" s="514" t="s">
        <v>1299</v>
      </c>
      <c r="B214" s="25"/>
      <c r="C214" s="2479"/>
      <c r="D214" s="324"/>
      <c r="E214" s="396" t="s">
        <v>1509</v>
      </c>
      <c r="F214" s="331" t="s">
        <v>1255</v>
      </c>
      <c r="G214" s="506" t="s">
        <v>960</v>
      </c>
      <c r="H214" s="480" t="s">
        <v>961</v>
      </c>
      <c r="I214" s="480" t="s">
        <v>962</v>
      </c>
      <c r="J214" s="150" t="s">
        <v>67</v>
      </c>
      <c r="K214" s="397"/>
      <c r="L214" s="201">
        <v>0</v>
      </c>
      <c r="M214" s="568"/>
      <c r="N214" s="801" t="s">
        <v>132</v>
      </c>
      <c r="O214" s="604" t="s">
        <v>1501</v>
      </c>
      <c r="P214" s="1073"/>
      <c r="Q214" s="1073"/>
      <c r="R214" s="1073"/>
      <c r="S214" s="336">
        <v>1</v>
      </c>
      <c r="T214" s="402">
        <v>0</v>
      </c>
      <c r="U214" s="402">
        <v>0</v>
      </c>
      <c r="V214" s="399" t="s">
        <v>309</v>
      </c>
      <c r="W214" s="425"/>
      <c r="X214" s="425"/>
      <c r="Z214" s="434"/>
      <c r="AE214" s="1007" t="s">
        <v>24</v>
      </c>
      <c r="AF214" s="1012" t="s">
        <v>537</v>
      </c>
      <c r="AG214" s="1012"/>
      <c r="AH214" s="1007" t="s">
        <v>67</v>
      </c>
      <c r="AI214" s="1009"/>
      <c r="AJ214" s="1012" t="s">
        <v>536</v>
      </c>
    </row>
    <row r="215" spans="1:36" s="107" customFormat="1" ht="40" customHeight="1" thickBot="1" x14ac:dyDescent="0.25">
      <c r="A215" s="2480" t="s">
        <v>1194</v>
      </c>
      <c r="B215" s="1676"/>
      <c r="C215" s="1677"/>
      <c r="E215" s="324"/>
      <c r="F215" s="391"/>
      <c r="G215" s="324"/>
      <c r="H215" s="391"/>
      <c r="I215" s="391"/>
      <c r="J215" s="392"/>
      <c r="K215" s="392"/>
      <c r="L215" s="392"/>
      <c r="M215" s="392"/>
      <c r="N215" s="393"/>
      <c r="O215" s="1527"/>
      <c r="P215" s="393"/>
      <c r="Q215" s="393"/>
      <c r="R215" s="393"/>
      <c r="S215" s="394"/>
      <c r="T215" s="395"/>
      <c r="U215" s="395"/>
      <c r="V215" s="329"/>
      <c r="W215" s="422"/>
      <c r="X215" s="422"/>
      <c r="Y215" s="43"/>
      <c r="Z215" s="435"/>
      <c r="AA215" s="42"/>
      <c r="AB215" s="42"/>
      <c r="AC215" s="42"/>
      <c r="AD215" s="42"/>
      <c r="AE215" s="1028"/>
      <c r="AF215" s="1029"/>
      <c r="AG215" s="1029"/>
      <c r="AH215" s="1040"/>
      <c r="AI215" s="1041"/>
      <c r="AJ215" s="1042"/>
    </row>
    <row r="216" spans="1:36" s="7" customFormat="1" ht="60" customHeight="1" thickBot="1" x14ac:dyDescent="0.25">
      <c r="A216" s="2480"/>
      <c r="D216" s="786">
        <v>0</v>
      </c>
      <c r="E216" s="1607" t="s">
        <v>1343</v>
      </c>
      <c r="F216" s="1609" t="s">
        <v>1513</v>
      </c>
      <c r="G216" s="1608"/>
      <c r="H216" s="1609"/>
      <c r="I216" s="1608"/>
      <c r="J216" s="359" t="s">
        <v>1305</v>
      </c>
      <c r="K216" s="360">
        <v>5</v>
      </c>
      <c r="L216" s="1604">
        <v>1</v>
      </c>
      <c r="M216" s="1605"/>
      <c r="N216" s="789" t="s">
        <v>54</v>
      </c>
      <c r="O216" s="787" t="s">
        <v>1157</v>
      </c>
      <c r="P216" s="361">
        <f>Test_Bible!P301</f>
        <v>0</v>
      </c>
      <c r="Q216" s="361">
        <f>Test_Bible!Q301</f>
        <v>0</v>
      </c>
      <c r="R216" s="361"/>
      <c r="S216" s="315" t="s">
        <v>34</v>
      </c>
      <c r="T216" s="339" t="s">
        <v>34</v>
      </c>
      <c r="U216" s="342" t="s">
        <v>34</v>
      </c>
      <c r="V216" s="689" t="s">
        <v>55</v>
      </c>
      <c r="W216" s="422"/>
      <c r="X216" s="422"/>
      <c r="Y216" s="43"/>
      <c r="Z216" s="1274"/>
      <c r="AA216" s="42"/>
      <c r="AB216" s="42"/>
      <c r="AC216" s="42"/>
      <c r="AD216" s="42"/>
      <c r="AE216" s="531"/>
      <c r="AF216" s="995"/>
      <c r="AG216" s="995"/>
      <c r="AH216" s="994"/>
      <c r="AI216" s="842"/>
      <c r="AJ216" s="844"/>
    </row>
    <row r="217" spans="1:36" s="7" customFormat="1" ht="89" customHeight="1" thickTop="1" thickBot="1" x14ac:dyDescent="0.25">
      <c r="A217" s="1678" t="s">
        <v>1369</v>
      </c>
      <c r="B217" s="1507"/>
      <c r="C217" s="775" t="s">
        <v>1192</v>
      </c>
      <c r="D217" s="1275">
        <v>1</v>
      </c>
      <c r="E217" s="121" t="s">
        <v>198</v>
      </c>
      <c r="F217" s="947" t="s">
        <v>1328</v>
      </c>
      <c r="G217" s="947" t="s">
        <v>963</v>
      </c>
      <c r="H217" s="1613"/>
      <c r="I217" s="1614"/>
      <c r="J217" s="1615"/>
      <c r="K217" s="1616">
        <v>4</v>
      </c>
      <c r="L217" s="541">
        <v>1</v>
      </c>
      <c r="M217" s="541">
        <v>0</v>
      </c>
      <c r="N217" s="793" t="s">
        <v>7</v>
      </c>
      <c r="O217" s="1531" t="s">
        <v>1221</v>
      </c>
      <c r="P217" s="400">
        <f>Test_Bible!P404</f>
        <v>0</v>
      </c>
      <c r="Q217" s="400">
        <f>Test_Bible!Q404</f>
        <v>0</v>
      </c>
      <c r="R217" s="1721" t="s">
        <v>1564</v>
      </c>
      <c r="S217" s="403">
        <v>1</v>
      </c>
      <c r="T217" s="404">
        <v>0</v>
      </c>
      <c r="U217" s="405">
        <v>0</v>
      </c>
      <c r="V217" s="362" t="s">
        <v>55</v>
      </c>
      <c r="W217" s="6">
        <v>1</v>
      </c>
      <c r="X217" s="426"/>
      <c r="Y217" s="44"/>
      <c r="Z217" s="436"/>
      <c r="AA217" s="42"/>
      <c r="AB217" s="42"/>
      <c r="AC217" s="42"/>
      <c r="AD217" s="42"/>
      <c r="AE217" s="531"/>
      <c r="AF217" s="995"/>
      <c r="AG217" s="995"/>
      <c r="AH217" s="994"/>
      <c r="AI217" s="842"/>
      <c r="AJ217" s="844"/>
    </row>
    <row r="218" spans="1:36" s="7" customFormat="1" ht="63" customHeight="1" x14ac:dyDescent="0.2">
      <c r="A218" s="1679"/>
      <c r="B218" s="99" t="s">
        <v>738</v>
      </c>
      <c r="D218" s="1275">
        <v>2</v>
      </c>
      <c r="E218" s="118" t="s">
        <v>199</v>
      </c>
      <c r="F218" s="698" t="s">
        <v>1250</v>
      </c>
      <c r="G218" s="698" t="s">
        <v>964</v>
      </c>
      <c r="H218" s="97"/>
      <c r="I218" s="895"/>
      <c r="J218" s="189"/>
      <c r="K218" s="208"/>
      <c r="L218" s="549">
        <v>2</v>
      </c>
      <c r="M218" s="549"/>
      <c r="N218" s="793" t="s">
        <v>1204</v>
      </c>
      <c r="O218" s="1531" t="s">
        <v>1206</v>
      </c>
      <c r="P218" s="308">
        <f>Test_Bible!P405</f>
        <v>0</v>
      </c>
      <c r="Q218" s="308">
        <f>Test_Bible!Q405</f>
        <v>0</v>
      </c>
      <c r="R218" s="1721" t="s">
        <v>1565</v>
      </c>
      <c r="S218" s="115">
        <v>0</v>
      </c>
      <c r="T218" s="116">
        <v>1</v>
      </c>
      <c r="U218" s="373">
        <v>0</v>
      </c>
      <c r="V218" s="155" t="s">
        <v>55</v>
      </c>
      <c r="W218" s="6">
        <v>1</v>
      </c>
      <c r="X218" s="426"/>
      <c r="Y218" s="414"/>
      <c r="Z218" s="437"/>
      <c r="AB218" s="42"/>
      <c r="AC218" s="42"/>
      <c r="AD218" s="42"/>
      <c r="AE218" s="504" t="s">
        <v>24</v>
      </c>
      <c r="AF218" s="263" t="s">
        <v>533</v>
      </c>
      <c r="AG218" s="995"/>
      <c r="AH218" s="1003" t="s">
        <v>25</v>
      </c>
      <c r="AI218" s="842"/>
      <c r="AJ218" s="263" t="s">
        <v>533</v>
      </c>
    </row>
    <row r="219" spans="1:36" s="7" customFormat="1" ht="63" customHeight="1" x14ac:dyDescent="0.2">
      <c r="A219" s="1680" t="s">
        <v>1158</v>
      </c>
      <c r="D219" s="1275">
        <v>15</v>
      </c>
      <c r="E219" s="121" t="s">
        <v>200</v>
      </c>
      <c r="F219" s="947" t="s">
        <v>1340</v>
      </c>
      <c r="G219" s="947" t="s">
        <v>965</v>
      </c>
      <c r="H219" s="253"/>
      <c r="I219" s="940"/>
      <c r="J219" s="193"/>
      <c r="K219" s="219"/>
      <c r="L219" s="549">
        <v>2</v>
      </c>
      <c r="M219" s="549"/>
      <c r="N219" s="794" t="s">
        <v>7</v>
      </c>
      <c r="O219" s="1531" t="s">
        <v>1221</v>
      </c>
      <c r="P219" s="308">
        <f>Test_Bible!P406</f>
        <v>7</v>
      </c>
      <c r="Q219" s="308">
        <f>Test_Bible!Q406</f>
        <v>14</v>
      </c>
      <c r="R219" s="307" t="s">
        <v>1548</v>
      </c>
      <c r="S219" s="114">
        <v>0.5</v>
      </c>
      <c r="T219" s="333">
        <v>0</v>
      </c>
      <c r="U219" s="297">
        <v>0.5</v>
      </c>
      <c r="V219" s="161" t="s">
        <v>2318</v>
      </c>
      <c r="W219" s="8"/>
      <c r="X219" s="1053">
        <v>1</v>
      </c>
      <c r="Y219" s="414"/>
      <c r="Z219" s="437"/>
      <c r="AA219" s="42"/>
      <c r="AB219" s="42"/>
      <c r="AC219" s="42"/>
      <c r="AD219" s="42"/>
      <c r="AE219" s="504" t="s">
        <v>24</v>
      </c>
      <c r="AF219" s="997" t="s">
        <v>544</v>
      </c>
      <c r="AG219" s="997"/>
      <c r="AH219" s="504" t="s">
        <v>25</v>
      </c>
      <c r="AI219" s="263"/>
      <c r="AJ219" s="1022" t="s">
        <v>545</v>
      </c>
    </row>
    <row r="220" spans="1:36" s="7" customFormat="1" ht="63" customHeight="1" x14ac:dyDescent="0.2">
      <c r="A220" s="1679"/>
      <c r="D220" s="1275">
        <v>7</v>
      </c>
      <c r="E220" s="121" t="s">
        <v>201</v>
      </c>
      <c r="F220" s="947" t="s">
        <v>1333</v>
      </c>
      <c r="G220" s="947" t="s">
        <v>966</v>
      </c>
      <c r="H220" s="254"/>
      <c r="I220" s="941"/>
      <c r="J220" s="193"/>
      <c r="K220" s="219"/>
      <c r="L220" s="541">
        <v>1</v>
      </c>
      <c r="M220" s="541"/>
      <c r="N220" s="794" t="s">
        <v>43</v>
      </c>
      <c r="O220" s="1531" t="s">
        <v>1114</v>
      </c>
      <c r="P220" s="308">
        <f>Test_Bible!P407</f>
        <v>7</v>
      </c>
      <c r="Q220" s="308">
        <f>Test_Bible!Q407</f>
        <v>7</v>
      </c>
      <c r="R220" s="311" t="s">
        <v>2032</v>
      </c>
      <c r="S220" s="114">
        <v>1</v>
      </c>
      <c r="T220" s="333">
        <v>0</v>
      </c>
      <c r="U220" s="373">
        <v>0</v>
      </c>
      <c r="V220" s="159" t="s">
        <v>2319</v>
      </c>
      <c r="W220" s="8"/>
      <c r="X220" s="426"/>
      <c r="Y220" s="414">
        <v>1</v>
      </c>
      <c r="Z220" s="437"/>
      <c r="AA220" s="42"/>
      <c r="AB220" s="42"/>
      <c r="AC220" s="42"/>
      <c r="AD220" s="42"/>
      <c r="AE220" s="531"/>
      <c r="AF220" s="995"/>
      <c r="AG220" s="995"/>
      <c r="AH220" s="994"/>
      <c r="AI220" s="842"/>
      <c r="AJ220" s="844"/>
    </row>
    <row r="221" spans="1:36" s="7" customFormat="1" ht="65" customHeight="1" thickBot="1" x14ac:dyDescent="0.25">
      <c r="A221" s="1681"/>
      <c r="D221" s="1275">
        <v>3</v>
      </c>
      <c r="E221" s="121" t="s">
        <v>202</v>
      </c>
      <c r="F221" s="947" t="s">
        <v>1329</v>
      </c>
      <c r="G221" s="947"/>
      <c r="H221" s="254"/>
      <c r="I221" s="941"/>
      <c r="J221" s="193"/>
      <c r="K221" s="219"/>
      <c r="L221" s="1611"/>
      <c r="M221" s="1612"/>
      <c r="N221" s="802" t="s">
        <v>19</v>
      </c>
      <c r="O221" s="1625" t="s">
        <v>1370</v>
      </c>
      <c r="P221" s="308"/>
      <c r="Q221" s="308"/>
      <c r="R221" s="1720" t="s">
        <v>2046</v>
      </c>
      <c r="S221" s="115">
        <v>0</v>
      </c>
      <c r="T221" s="333">
        <v>0</v>
      </c>
      <c r="U221" s="297">
        <v>1</v>
      </c>
      <c r="V221" s="156" t="s">
        <v>309</v>
      </c>
      <c r="W221" s="8"/>
      <c r="X221" s="426"/>
      <c r="Y221" s="414"/>
      <c r="Z221" s="1653">
        <v>1</v>
      </c>
      <c r="AA221" s="42"/>
      <c r="AB221" s="42"/>
      <c r="AC221" s="42"/>
      <c r="AD221" s="42"/>
      <c r="AE221" s="531"/>
      <c r="AF221" s="995"/>
      <c r="AG221" s="995"/>
      <c r="AH221" s="994"/>
      <c r="AI221" s="842"/>
      <c r="AJ221" s="844"/>
    </row>
    <row r="222" spans="1:36" s="7" customFormat="1" ht="63" customHeight="1" x14ac:dyDescent="0.2">
      <c r="A222" s="1679"/>
      <c r="B222" s="1506" t="s">
        <v>1195</v>
      </c>
      <c r="D222" s="1275">
        <v>4</v>
      </c>
      <c r="E222" s="118" t="s">
        <v>1102</v>
      </c>
      <c r="F222" s="698" t="s">
        <v>1330</v>
      </c>
      <c r="G222" s="947" t="s">
        <v>968</v>
      </c>
      <c r="H222" s="253"/>
      <c r="I222" s="940"/>
      <c r="J222" s="193"/>
      <c r="K222" s="219">
        <v>2</v>
      </c>
      <c r="L222" s="548">
        <v>3</v>
      </c>
      <c r="M222" s="548"/>
      <c r="N222" s="794" t="s">
        <v>3</v>
      </c>
      <c r="O222" s="272" t="s">
        <v>1113</v>
      </c>
      <c r="P222" s="308">
        <f>Test_Bible!P415</f>
        <v>1</v>
      </c>
      <c r="Q222" s="308">
        <f>Test_Bible!Q415</f>
        <v>3</v>
      </c>
      <c r="R222" s="307" t="s">
        <v>1566</v>
      </c>
      <c r="S222" s="115">
        <v>0</v>
      </c>
      <c r="T222" s="333">
        <v>0</v>
      </c>
      <c r="U222" s="297">
        <v>1</v>
      </c>
      <c r="V222" s="156" t="s">
        <v>309</v>
      </c>
      <c r="W222" s="8"/>
      <c r="X222" s="426"/>
      <c r="Y222" s="44"/>
      <c r="Z222" s="427">
        <v>1</v>
      </c>
      <c r="AA222" s="42"/>
      <c r="AB222" s="42"/>
      <c r="AC222" s="42"/>
      <c r="AD222" s="42"/>
      <c r="AE222" s="531"/>
      <c r="AF222" s="995"/>
      <c r="AG222" s="995"/>
      <c r="AH222" s="504" t="s">
        <v>25</v>
      </c>
      <c r="AI222" s="842"/>
      <c r="AJ222" s="843" t="s">
        <v>553</v>
      </c>
    </row>
    <row r="223" spans="1:36" s="7" customFormat="1" ht="63" customHeight="1" x14ac:dyDescent="0.2">
      <c r="A223" s="1679"/>
      <c r="B223" s="1506" t="s">
        <v>1163</v>
      </c>
      <c r="D223" s="1275">
        <v>5</v>
      </c>
      <c r="E223" s="118" t="s">
        <v>1162</v>
      </c>
      <c r="F223" s="698" t="s">
        <v>1331</v>
      </c>
      <c r="G223" s="947" t="s">
        <v>967</v>
      </c>
      <c r="H223" s="253"/>
      <c r="I223" s="940"/>
      <c r="J223" s="193"/>
      <c r="K223" s="219"/>
      <c r="L223" s="548">
        <v>3</v>
      </c>
      <c r="M223" s="548"/>
      <c r="N223" s="794" t="s">
        <v>3</v>
      </c>
      <c r="O223" s="272" t="s">
        <v>1113</v>
      </c>
      <c r="P223" s="308">
        <f>Test_Bible!P414</f>
        <v>4</v>
      </c>
      <c r="Q223" s="308">
        <f>Test_Bible!Q414</f>
        <v>12</v>
      </c>
      <c r="R223" s="307" t="s">
        <v>1552</v>
      </c>
      <c r="S223" s="115">
        <v>0</v>
      </c>
      <c r="T223" s="333">
        <v>0</v>
      </c>
      <c r="U223" s="297">
        <v>1</v>
      </c>
      <c r="V223" s="156" t="s">
        <v>309</v>
      </c>
      <c r="W223" s="8"/>
      <c r="X223" s="426"/>
      <c r="Y223" s="44"/>
      <c r="Z223" s="427">
        <v>1</v>
      </c>
      <c r="AA223" s="42"/>
      <c r="AB223" s="42"/>
      <c r="AC223" s="42"/>
      <c r="AD223" s="42"/>
      <c r="AE223" s="1007"/>
      <c r="AF223" s="843"/>
      <c r="AG223" s="995"/>
      <c r="AH223" s="504" t="s">
        <v>25</v>
      </c>
      <c r="AI223" s="842"/>
      <c r="AJ223" s="843" t="s">
        <v>547</v>
      </c>
    </row>
    <row r="224" spans="1:36" s="7" customFormat="1" ht="63" customHeight="1" x14ac:dyDescent="0.2">
      <c r="A224" s="1680" t="s">
        <v>1196</v>
      </c>
      <c r="B224" s="1506" t="s">
        <v>1197</v>
      </c>
      <c r="D224" s="1275">
        <v>6</v>
      </c>
      <c r="E224" s="118" t="s">
        <v>1104</v>
      </c>
      <c r="F224" s="698" t="s">
        <v>1332</v>
      </c>
      <c r="G224" s="947" t="s">
        <v>969</v>
      </c>
      <c r="H224" s="254"/>
      <c r="I224" s="941"/>
      <c r="J224" s="193"/>
      <c r="K224" s="219"/>
      <c r="L224" s="548">
        <v>3</v>
      </c>
      <c r="M224" s="548"/>
      <c r="N224" s="794" t="s">
        <v>3</v>
      </c>
      <c r="O224" s="272" t="s">
        <v>1113</v>
      </c>
      <c r="P224" s="308">
        <f>Test_Bible!P416</f>
        <v>0</v>
      </c>
      <c r="Q224" s="308">
        <f>Test_Bible!Q416</f>
        <v>0</v>
      </c>
      <c r="R224" s="6" t="s">
        <v>618</v>
      </c>
      <c r="S224" s="115">
        <v>0</v>
      </c>
      <c r="T224" s="333">
        <v>0</v>
      </c>
      <c r="U224" s="297">
        <v>1</v>
      </c>
      <c r="V224" s="156" t="s">
        <v>309</v>
      </c>
      <c r="W224" s="8"/>
      <c r="X224" s="426"/>
      <c r="Y224" s="414"/>
      <c r="Z224" s="427">
        <v>1</v>
      </c>
      <c r="AA224" s="42"/>
      <c r="AB224" s="42"/>
      <c r="AC224" s="42"/>
      <c r="AD224" s="42"/>
      <c r="AE224" s="531"/>
      <c r="AF224" s="995"/>
      <c r="AG224" s="995"/>
      <c r="AH224" s="504" t="s">
        <v>25</v>
      </c>
      <c r="AI224" s="842"/>
      <c r="AJ224" s="843" t="s">
        <v>552</v>
      </c>
    </row>
    <row r="225" spans="1:36" s="7" customFormat="1" ht="63" customHeight="1" x14ac:dyDescent="0.2">
      <c r="A225" s="1679"/>
      <c r="D225" s="1275">
        <v>9</v>
      </c>
      <c r="E225" s="121" t="s">
        <v>203</v>
      </c>
      <c r="F225" s="947" t="s">
        <v>1334</v>
      </c>
      <c r="G225" s="947" t="s">
        <v>970</v>
      </c>
      <c r="H225" s="254"/>
      <c r="I225" s="941"/>
      <c r="J225" s="193"/>
      <c r="K225" s="219">
        <v>4</v>
      </c>
      <c r="L225" s="549">
        <v>2</v>
      </c>
      <c r="M225" s="549"/>
      <c r="N225" s="794" t="s">
        <v>3</v>
      </c>
      <c r="O225" s="272" t="s">
        <v>1113</v>
      </c>
      <c r="P225" s="308">
        <f>Test_Bible!P417</f>
        <v>4</v>
      </c>
      <c r="Q225" s="308">
        <f>Test_Bible!Q417</f>
        <v>8</v>
      </c>
      <c r="R225" s="307" t="s">
        <v>2050</v>
      </c>
      <c r="S225" s="114">
        <v>1</v>
      </c>
      <c r="T225" s="333">
        <v>0</v>
      </c>
      <c r="U225" s="373">
        <v>0</v>
      </c>
      <c r="V225" s="154" t="s">
        <v>336</v>
      </c>
      <c r="W225" s="8"/>
      <c r="X225" s="426"/>
      <c r="Y225" s="44"/>
      <c r="Z225" s="436"/>
      <c r="AA225" s="1055">
        <v>1</v>
      </c>
      <c r="AB225" s="42"/>
      <c r="AC225" s="42"/>
      <c r="AD225" s="42"/>
      <c r="AE225" s="531"/>
      <c r="AF225" s="995"/>
      <c r="AG225" s="995"/>
      <c r="AH225" s="504" t="s">
        <v>25</v>
      </c>
      <c r="AI225" s="842"/>
      <c r="AJ225" s="843" t="s">
        <v>555</v>
      </c>
    </row>
    <row r="226" spans="1:36" s="7" customFormat="1" ht="63" customHeight="1" x14ac:dyDescent="0.2">
      <c r="A226" s="1679"/>
      <c r="B226" s="1506" t="s">
        <v>1198</v>
      </c>
      <c r="D226" s="1275">
        <v>10</v>
      </c>
      <c r="E226" s="118" t="s">
        <v>1103</v>
      </c>
      <c r="F226" s="698" t="s">
        <v>1335</v>
      </c>
      <c r="G226" s="947" t="s">
        <v>971</v>
      </c>
      <c r="H226" s="254"/>
      <c r="I226" s="941"/>
      <c r="J226" s="193"/>
      <c r="K226" s="219"/>
      <c r="L226" s="549">
        <v>2</v>
      </c>
      <c r="M226" s="549"/>
      <c r="N226" s="794" t="s">
        <v>3</v>
      </c>
      <c r="O226" s="272" t="s">
        <v>1113</v>
      </c>
      <c r="P226" s="308">
        <f>Test_Bible!P418</f>
        <v>4</v>
      </c>
      <c r="Q226" s="308">
        <f>Test_Bible!Q418</f>
        <v>8</v>
      </c>
      <c r="R226" s="307" t="s">
        <v>1567</v>
      </c>
      <c r="S226" s="114">
        <v>1</v>
      </c>
      <c r="T226" s="333">
        <v>0</v>
      </c>
      <c r="U226" s="373">
        <v>0</v>
      </c>
      <c r="V226" s="154" t="s">
        <v>336</v>
      </c>
      <c r="W226" s="8"/>
      <c r="X226" s="426"/>
      <c r="Y226" s="44"/>
      <c r="Z226" s="436"/>
      <c r="AA226" s="1055">
        <v>1</v>
      </c>
      <c r="AB226" s="42"/>
      <c r="AC226" s="42"/>
      <c r="AD226" s="42"/>
      <c r="AE226" s="531"/>
      <c r="AF226" s="995"/>
      <c r="AG226" s="995"/>
      <c r="AH226" s="504" t="s">
        <v>25</v>
      </c>
      <c r="AI226" s="842"/>
      <c r="AJ226" s="843" t="s">
        <v>555</v>
      </c>
    </row>
    <row r="227" spans="1:36" s="7" customFormat="1" ht="63" customHeight="1" x14ac:dyDescent="0.2">
      <c r="A227" s="1679"/>
      <c r="D227" s="1275">
        <v>13</v>
      </c>
      <c r="E227" s="121" t="s">
        <v>204</v>
      </c>
      <c r="F227" s="947" t="s">
        <v>1338</v>
      </c>
      <c r="G227" s="947" t="s">
        <v>972</v>
      </c>
      <c r="H227" s="254"/>
      <c r="I227" s="941"/>
      <c r="J227" s="193"/>
      <c r="K227" s="219"/>
      <c r="L227" s="549">
        <v>2</v>
      </c>
      <c r="M227" s="549"/>
      <c r="N227" s="794" t="s">
        <v>3</v>
      </c>
      <c r="O227" s="272" t="s">
        <v>1113</v>
      </c>
      <c r="P227" s="308">
        <f>Test_Bible!P419</f>
        <v>2</v>
      </c>
      <c r="Q227" s="308">
        <f>Test_Bible!Q419</f>
        <v>4</v>
      </c>
      <c r="R227" s="307" t="s">
        <v>1556</v>
      </c>
      <c r="S227" s="114">
        <v>1</v>
      </c>
      <c r="T227" s="333">
        <v>0</v>
      </c>
      <c r="U227" s="373">
        <v>0</v>
      </c>
      <c r="V227" s="154" t="s">
        <v>336</v>
      </c>
      <c r="W227" s="8"/>
      <c r="X227" s="426"/>
      <c r="Y227" s="44"/>
      <c r="Z227" s="436"/>
      <c r="AA227" s="1055">
        <v>1</v>
      </c>
      <c r="AB227" s="42"/>
      <c r="AC227" s="42"/>
      <c r="AD227" s="42"/>
      <c r="AE227" s="531"/>
      <c r="AF227" s="995"/>
      <c r="AG227" s="995"/>
      <c r="AH227" s="994"/>
      <c r="AI227" s="842"/>
      <c r="AJ227" s="844"/>
    </row>
    <row r="228" spans="1:36" s="7" customFormat="1" ht="63" customHeight="1" x14ac:dyDescent="0.2">
      <c r="A228" s="1679"/>
      <c r="D228" s="1275">
        <v>12</v>
      </c>
      <c r="E228" s="121" t="s">
        <v>205</v>
      </c>
      <c r="F228" s="947" t="s">
        <v>1337</v>
      </c>
      <c r="G228" s="947" t="s">
        <v>973</v>
      </c>
      <c r="H228" s="254"/>
      <c r="I228" s="941"/>
      <c r="J228" s="193"/>
      <c r="K228" s="219"/>
      <c r="L228" s="549">
        <v>2</v>
      </c>
      <c r="M228" s="549"/>
      <c r="N228" s="794" t="s">
        <v>3</v>
      </c>
      <c r="O228" s="272" t="s">
        <v>1113</v>
      </c>
      <c r="P228" s="308">
        <f>Test_Bible!P420</f>
        <v>7</v>
      </c>
      <c r="Q228" s="308">
        <f>Test_Bible!Q420</f>
        <v>14</v>
      </c>
      <c r="R228" s="307" t="s">
        <v>1558</v>
      </c>
      <c r="S228" s="114">
        <v>1</v>
      </c>
      <c r="T228" s="333">
        <v>0</v>
      </c>
      <c r="U228" s="373">
        <v>0</v>
      </c>
      <c r="V228" s="154" t="s">
        <v>336</v>
      </c>
      <c r="W228" s="8"/>
      <c r="X228" s="426"/>
      <c r="Y228" s="44"/>
      <c r="Z228" s="436"/>
      <c r="AA228" s="1055">
        <v>1</v>
      </c>
      <c r="AB228" s="42"/>
      <c r="AC228" s="42"/>
      <c r="AD228" s="42"/>
      <c r="AE228" s="531"/>
      <c r="AF228" s="995"/>
      <c r="AG228" s="995"/>
      <c r="AH228" s="504"/>
      <c r="AI228" s="842"/>
      <c r="AJ228" s="843"/>
    </row>
    <row r="229" spans="1:36" s="7" customFormat="1" ht="63" customHeight="1" x14ac:dyDescent="0.2">
      <c r="A229" s="1679"/>
      <c r="D229" s="1275">
        <v>8</v>
      </c>
      <c r="E229" s="121" t="s">
        <v>206</v>
      </c>
      <c r="F229" s="947" t="s">
        <v>1251</v>
      </c>
      <c r="G229" s="947" t="s">
        <v>974</v>
      </c>
      <c r="H229" s="253"/>
      <c r="I229" s="940"/>
      <c r="J229" s="193"/>
      <c r="K229" s="219"/>
      <c r="L229" s="549">
        <v>2</v>
      </c>
      <c r="M229" s="549"/>
      <c r="N229" s="794" t="s">
        <v>3</v>
      </c>
      <c r="O229" s="272" t="s">
        <v>1113</v>
      </c>
      <c r="P229" s="308">
        <f>Test_Bible!P421</f>
        <v>7</v>
      </c>
      <c r="Q229" s="308">
        <f>Test_Bible!Q421</f>
        <v>14</v>
      </c>
      <c r="R229" s="1720" t="s">
        <v>1569</v>
      </c>
      <c r="S229" s="114">
        <v>1</v>
      </c>
      <c r="T229" s="333">
        <v>0</v>
      </c>
      <c r="U229" s="373">
        <v>0</v>
      </c>
      <c r="V229" s="154" t="s">
        <v>336</v>
      </c>
      <c r="W229" s="8"/>
      <c r="X229" s="426"/>
      <c r="Y229" s="44"/>
      <c r="Z229" s="436"/>
      <c r="AA229" s="1055">
        <v>1</v>
      </c>
      <c r="AB229" s="42"/>
      <c r="AC229" s="42"/>
      <c r="AD229" s="42"/>
      <c r="AE229" s="531"/>
      <c r="AF229" s="995"/>
      <c r="AG229" s="995"/>
      <c r="AH229" s="994"/>
      <c r="AI229" s="842"/>
      <c r="AJ229" s="844"/>
    </row>
    <row r="230" spans="1:36" s="7" customFormat="1" ht="63" customHeight="1" x14ac:dyDescent="0.2">
      <c r="A230" s="1680" t="s">
        <v>1158</v>
      </c>
      <c r="D230" s="1275">
        <v>11</v>
      </c>
      <c r="E230" s="121" t="s">
        <v>493</v>
      </c>
      <c r="F230" s="947" t="s">
        <v>1336</v>
      </c>
      <c r="G230" s="947" t="s">
        <v>975</v>
      </c>
      <c r="H230" s="253"/>
      <c r="I230" s="940"/>
      <c r="J230" s="193"/>
      <c r="K230" s="219"/>
      <c r="L230" s="548">
        <v>3</v>
      </c>
      <c r="M230" s="548"/>
      <c r="N230" s="794" t="s">
        <v>9</v>
      </c>
      <c r="O230" s="272" t="s">
        <v>1475</v>
      </c>
      <c r="P230" s="307">
        <f>Test_Bible!P320</f>
        <v>0</v>
      </c>
      <c r="Q230" s="307">
        <f>Test_Bible!Q320</f>
        <v>0</v>
      </c>
      <c r="R230" s="311" t="s">
        <v>1544</v>
      </c>
      <c r="S230" s="316">
        <v>1</v>
      </c>
      <c r="T230" s="317">
        <v>0</v>
      </c>
      <c r="U230" s="318">
        <v>0</v>
      </c>
      <c r="V230" s="154" t="s">
        <v>336</v>
      </c>
      <c r="W230" s="8"/>
      <c r="X230" s="426"/>
      <c r="Y230" s="44"/>
      <c r="Z230" s="436"/>
      <c r="AA230" s="1055">
        <v>1</v>
      </c>
      <c r="AB230" s="42"/>
      <c r="AC230" s="42"/>
      <c r="AD230" s="42"/>
      <c r="AE230" s="504"/>
      <c r="AF230" s="997"/>
      <c r="AG230" s="995"/>
      <c r="AH230" s="504" t="s">
        <v>25</v>
      </c>
      <c r="AI230" s="842"/>
      <c r="AJ230" s="1043" t="s">
        <v>554</v>
      </c>
    </row>
    <row r="231" spans="1:36" s="7" customFormat="1" ht="63" customHeight="1" x14ac:dyDescent="0.2">
      <c r="A231" s="1679"/>
      <c r="D231" s="1275">
        <v>14</v>
      </c>
      <c r="E231" s="121" t="s">
        <v>207</v>
      </c>
      <c r="F231" s="947" t="s">
        <v>1339</v>
      </c>
      <c r="G231" s="947" t="s">
        <v>976</v>
      </c>
      <c r="H231" s="253"/>
      <c r="I231" s="940"/>
      <c r="J231" s="193"/>
      <c r="K231" s="219"/>
      <c r="L231" s="548">
        <v>3</v>
      </c>
      <c r="M231" s="548"/>
      <c r="N231" s="794" t="s">
        <v>7</v>
      </c>
      <c r="O231" s="1531" t="s">
        <v>1221</v>
      </c>
      <c r="P231" s="308">
        <f>Test_Bible!P423</f>
        <v>7</v>
      </c>
      <c r="Q231" s="308">
        <f>Test_Bible!Q423</f>
        <v>21</v>
      </c>
      <c r="R231" s="307" t="s">
        <v>1557</v>
      </c>
      <c r="S231" s="114">
        <v>1</v>
      </c>
      <c r="T231" s="333">
        <v>0</v>
      </c>
      <c r="U231" s="373">
        <v>0</v>
      </c>
      <c r="V231" s="154" t="s">
        <v>336</v>
      </c>
      <c r="W231" s="8"/>
      <c r="X231" s="426"/>
      <c r="Y231" s="414"/>
      <c r="Z231" s="437"/>
      <c r="AA231" s="1055">
        <v>1</v>
      </c>
      <c r="AB231" s="42"/>
      <c r="AC231" s="42"/>
      <c r="AD231" s="42"/>
      <c r="AE231" s="531"/>
      <c r="AF231" s="995"/>
      <c r="AG231" s="995"/>
      <c r="AH231" s="845" t="s">
        <v>512</v>
      </c>
      <c r="AI231" s="842"/>
      <c r="AJ231" s="844"/>
    </row>
    <row r="232" spans="1:36" s="7" customFormat="1" ht="63" customHeight="1" x14ac:dyDescent="0.2">
      <c r="A232" s="1679"/>
      <c r="D232" s="1275">
        <v>17</v>
      </c>
      <c r="E232" s="121" t="s">
        <v>208</v>
      </c>
      <c r="F232" s="947" t="s">
        <v>1342</v>
      </c>
      <c r="G232" s="947" t="s">
        <v>977</v>
      </c>
      <c r="H232" s="253"/>
      <c r="I232" s="940"/>
      <c r="J232" s="193"/>
      <c r="K232" s="219"/>
      <c r="L232" s="549">
        <v>2</v>
      </c>
      <c r="M232" s="549"/>
      <c r="N232" s="794" t="s">
        <v>7</v>
      </c>
      <c r="O232" s="1531" t="s">
        <v>1221</v>
      </c>
      <c r="P232" s="308">
        <f>Test_Bible!P424</f>
        <v>2</v>
      </c>
      <c r="Q232" s="308">
        <f>Test_Bible!Q424</f>
        <v>4</v>
      </c>
      <c r="R232" s="307" t="s">
        <v>2047</v>
      </c>
      <c r="S232" s="115">
        <v>0</v>
      </c>
      <c r="T232" s="333">
        <v>0</v>
      </c>
      <c r="U232" s="297">
        <v>1</v>
      </c>
      <c r="V232" s="158" t="s">
        <v>337</v>
      </c>
      <c r="W232" s="8"/>
      <c r="X232" s="426"/>
      <c r="Y232" s="44"/>
      <c r="Z232" s="436"/>
      <c r="AA232" s="42"/>
      <c r="AB232" s="1055">
        <v>1</v>
      </c>
      <c r="AC232" s="42"/>
      <c r="AD232" s="42"/>
      <c r="AE232" s="531"/>
      <c r="AF232" s="995"/>
      <c r="AG232" s="995"/>
      <c r="AH232" s="504"/>
      <c r="AI232" s="842"/>
      <c r="AJ232" s="1043" t="s">
        <v>551</v>
      </c>
    </row>
    <row r="233" spans="1:36" s="7" customFormat="1" ht="68" customHeight="1" x14ac:dyDescent="0.2">
      <c r="A233" s="1680" t="s">
        <v>1158</v>
      </c>
      <c r="D233" s="1275">
        <v>18</v>
      </c>
      <c r="E233" s="121" t="s">
        <v>209</v>
      </c>
      <c r="F233" s="947" t="s">
        <v>1252</v>
      </c>
      <c r="G233" s="947" t="s">
        <v>978</v>
      </c>
      <c r="H233" s="253"/>
      <c r="I233" s="940"/>
      <c r="J233" s="193"/>
      <c r="K233" s="219"/>
      <c r="L233" s="549">
        <v>2</v>
      </c>
      <c r="M233" s="549"/>
      <c r="N233" s="794" t="s">
        <v>121</v>
      </c>
      <c r="O233" s="1531" t="s">
        <v>1205</v>
      </c>
      <c r="P233" s="308">
        <f>Test_Bible!P425</f>
        <v>10</v>
      </c>
      <c r="Q233" s="308">
        <f>Test_Bible!Q425</f>
        <v>20</v>
      </c>
      <c r="R233" s="307" t="s">
        <v>1570</v>
      </c>
      <c r="S233" s="115">
        <v>0</v>
      </c>
      <c r="T233" s="116">
        <v>1</v>
      </c>
      <c r="U233" s="373">
        <v>0</v>
      </c>
      <c r="V233" s="158" t="s">
        <v>337</v>
      </c>
      <c r="W233" s="8"/>
      <c r="X233" s="426"/>
      <c r="Y233" s="414"/>
      <c r="Z233" s="437"/>
      <c r="AA233" s="42"/>
      <c r="AB233" s="1055">
        <v>1</v>
      </c>
      <c r="AC233" s="42"/>
      <c r="AD233" s="42"/>
      <c r="AE233" s="531"/>
      <c r="AF233" s="995"/>
      <c r="AG233" s="995"/>
      <c r="AH233" s="994"/>
      <c r="AI233" s="842"/>
      <c r="AJ233" s="844"/>
    </row>
    <row r="234" spans="1:36" s="7" customFormat="1" ht="85" customHeight="1" thickBot="1" x14ac:dyDescent="0.25">
      <c r="A234" s="1682" t="s">
        <v>1161</v>
      </c>
      <c r="C234" s="771" t="s">
        <v>792</v>
      </c>
      <c r="D234" s="1275">
        <v>16</v>
      </c>
      <c r="E234" s="121" t="s">
        <v>210</v>
      </c>
      <c r="F234" s="947" t="s">
        <v>1341</v>
      </c>
      <c r="G234" s="947" t="s">
        <v>979</v>
      </c>
      <c r="H234" s="374"/>
      <c r="I234" s="942"/>
      <c r="J234" s="193"/>
      <c r="K234" s="219"/>
      <c r="L234" s="549">
        <v>2</v>
      </c>
      <c r="M234" s="548">
        <v>3</v>
      </c>
      <c r="N234" s="798" t="s">
        <v>3</v>
      </c>
      <c r="O234" s="272" t="s">
        <v>1113</v>
      </c>
      <c r="P234" s="375">
        <f>Test_Bible!P426</f>
        <v>7</v>
      </c>
      <c r="Q234" s="375">
        <f>Test_Bible!Q426</f>
        <v>21</v>
      </c>
      <c r="R234" s="311" t="s">
        <v>1550</v>
      </c>
      <c r="S234" s="376">
        <v>0</v>
      </c>
      <c r="T234" s="377">
        <v>0</v>
      </c>
      <c r="U234" s="366">
        <v>1</v>
      </c>
      <c r="V234" s="378" t="s">
        <v>2321</v>
      </c>
      <c r="W234" s="8"/>
      <c r="X234" s="426"/>
      <c r="Y234" s="414"/>
      <c r="Z234" s="437"/>
      <c r="AA234" s="42"/>
      <c r="AB234" s="42"/>
      <c r="AC234" s="1055">
        <v>1</v>
      </c>
      <c r="AD234" s="42"/>
      <c r="AE234" s="531"/>
      <c r="AF234" s="995"/>
      <c r="AG234" s="995"/>
      <c r="AH234" s="845" t="s">
        <v>512</v>
      </c>
      <c r="AI234" s="842"/>
      <c r="AJ234" s="844"/>
    </row>
    <row r="235" spans="1:36" s="7" customFormat="1" ht="20" customHeight="1" thickTop="1" x14ac:dyDescent="0.2">
      <c r="D235" s="558"/>
      <c r="E235" s="558"/>
      <c r="F235" s="529"/>
      <c r="G235" s="16"/>
      <c r="H235" s="529"/>
      <c r="I235" s="529"/>
      <c r="J235" s="530"/>
      <c r="K235" s="530"/>
      <c r="L235" s="530"/>
      <c r="M235" s="530"/>
      <c r="N235" s="267"/>
      <c r="O235" s="1320"/>
      <c r="P235" s="267"/>
      <c r="Q235" s="585">
        <f>SUM(Q217:Q234)</f>
        <v>150</v>
      </c>
      <c r="R235" s="585"/>
      <c r="S235" s="586"/>
      <c r="T235" s="531"/>
      <c r="U235" s="531"/>
      <c r="V235" s="528"/>
      <c r="W235" s="424"/>
      <c r="X235" s="424"/>
      <c r="Y235" s="423"/>
      <c r="Z235" s="44"/>
      <c r="AA235" s="42"/>
      <c r="AB235" s="42"/>
      <c r="AC235" s="42"/>
      <c r="AD235" s="42"/>
      <c r="AE235" s="531"/>
      <c r="AF235" s="995"/>
      <c r="AG235" s="995"/>
      <c r="AH235" s="994"/>
      <c r="AI235" s="842"/>
      <c r="AJ235" s="844"/>
    </row>
    <row r="236" spans="1:36" s="7" customFormat="1" ht="20" customHeight="1" x14ac:dyDescent="0.2">
      <c r="D236" s="558"/>
      <c r="E236" s="558"/>
      <c r="F236" s="529"/>
      <c r="G236" s="16"/>
      <c r="H236" s="529"/>
      <c r="I236" s="529"/>
      <c r="J236" s="530"/>
      <c r="K236" s="530"/>
      <c r="L236" s="530"/>
      <c r="M236" s="530"/>
      <c r="N236" s="267"/>
      <c r="O236" s="1320"/>
      <c r="P236" s="267"/>
      <c r="Q236" s="585">
        <f>Q237-Q235</f>
        <v>560</v>
      </c>
      <c r="R236" s="585"/>
      <c r="S236" s="586"/>
      <c r="T236" s="531"/>
      <c r="U236" s="531"/>
      <c r="V236" s="528"/>
      <c r="W236" s="424"/>
      <c r="X236" s="424"/>
      <c r="Y236" s="423"/>
      <c r="Z236" s="44"/>
      <c r="AA236" s="42"/>
      <c r="AB236" s="42"/>
      <c r="AC236" s="42"/>
      <c r="AD236" s="42"/>
      <c r="AE236" s="531"/>
      <c r="AF236" s="995"/>
      <c r="AG236" s="995"/>
      <c r="AH236" s="994"/>
      <c r="AI236" s="842"/>
      <c r="AJ236" s="844"/>
    </row>
    <row r="237" spans="1:36" s="7" customFormat="1" ht="20" customHeight="1" x14ac:dyDescent="0.2">
      <c r="C237" s="1633"/>
      <c r="D237" s="558"/>
      <c r="E237" s="558"/>
      <c r="F237" s="529"/>
      <c r="G237" s="16"/>
      <c r="H237" s="529"/>
      <c r="I237" s="529"/>
      <c r="J237" s="530"/>
      <c r="K237" s="530"/>
      <c r="L237" s="530"/>
      <c r="M237" s="530"/>
      <c r="N237" s="530"/>
      <c r="O237" s="1320"/>
      <c r="P237" s="267"/>
      <c r="Q237" s="587">
        <f>Q235+Q148</f>
        <v>710</v>
      </c>
      <c r="R237" s="587"/>
      <c r="S237" s="586"/>
      <c r="T237" s="530"/>
      <c r="U237" s="530"/>
      <c r="V237" s="528"/>
      <c r="W237" s="424"/>
      <c r="X237" s="424"/>
      <c r="Y237" s="423"/>
      <c r="Z237" s="44"/>
      <c r="AA237" s="42"/>
      <c r="AB237" s="42"/>
      <c r="AC237" s="42"/>
      <c r="AD237" s="42"/>
      <c r="AE237" s="531"/>
      <c r="AF237" s="995"/>
      <c r="AG237" s="995"/>
      <c r="AH237" s="994"/>
      <c r="AI237" s="842"/>
      <c r="AJ237" s="844"/>
    </row>
    <row r="238" spans="1:36" s="7" customFormat="1" ht="20" customHeight="1" x14ac:dyDescent="0.2">
      <c r="C238" s="1632"/>
      <c r="D238" s="1276" t="s">
        <v>1042</v>
      </c>
      <c r="E238" s="558"/>
      <c r="F238" s="529"/>
      <c r="G238" s="16"/>
      <c r="H238" s="529"/>
      <c r="I238" s="529"/>
      <c r="J238" s="529"/>
      <c r="K238" s="529"/>
      <c r="L238" s="530"/>
      <c r="M238" s="530"/>
      <c r="N238" s="530"/>
      <c r="O238" s="1320"/>
      <c r="P238" s="267"/>
      <c r="Q238" s="585"/>
      <c r="R238" s="585"/>
      <c r="S238" s="586"/>
      <c r="T238" s="530"/>
      <c r="U238" s="530"/>
      <c r="V238" s="528"/>
      <c r="W238" s="424"/>
      <c r="X238" s="424"/>
      <c r="Y238" s="423"/>
      <c r="Z238" s="44"/>
      <c r="AA238" s="42"/>
      <c r="AB238" s="42"/>
      <c r="AC238" s="42"/>
      <c r="AD238" s="42"/>
      <c r="AE238" s="531"/>
      <c r="AF238" s="995"/>
      <c r="AG238" s="995"/>
      <c r="AH238" s="994"/>
      <c r="AI238" s="842"/>
      <c r="AJ238" s="844"/>
    </row>
    <row r="239" spans="1:36" s="7" customFormat="1" ht="17" customHeight="1" thickBot="1" x14ac:dyDescent="0.25">
      <c r="D239" s="1276"/>
      <c r="E239" s="558"/>
      <c r="F239" s="529"/>
      <c r="G239" s="16"/>
      <c r="H239" s="529"/>
      <c r="I239" s="529"/>
      <c r="J239" s="530"/>
      <c r="K239" s="530"/>
      <c r="L239" s="530"/>
      <c r="M239" s="530"/>
      <c r="N239" s="267"/>
      <c r="O239" s="1320"/>
      <c r="P239" s="267"/>
      <c r="Q239" s="585"/>
      <c r="R239" s="585"/>
      <c r="S239" s="588"/>
      <c r="T239" s="589"/>
      <c r="U239" s="589"/>
      <c r="V239" s="528"/>
      <c r="W239" s="424"/>
      <c r="X239" s="424"/>
      <c r="Y239" s="423"/>
      <c r="Z239" s="44"/>
      <c r="AA239" s="42"/>
      <c r="AB239" s="42"/>
      <c r="AC239" s="42"/>
      <c r="AD239" s="42"/>
      <c r="AE239" s="531"/>
      <c r="AF239" s="995"/>
      <c r="AG239" s="995"/>
      <c r="AH239" s="994"/>
      <c r="AI239" s="842"/>
      <c r="AJ239" s="844"/>
    </row>
    <row r="240" spans="1:36" ht="111" customHeight="1" x14ac:dyDescent="0.2">
      <c r="D240" s="1276">
        <v>0</v>
      </c>
      <c r="E240" s="175" t="s">
        <v>980</v>
      </c>
      <c r="F240" s="581" t="s">
        <v>412</v>
      </c>
      <c r="G240" s="505" t="s">
        <v>412</v>
      </c>
      <c r="H240" s="482" t="s">
        <v>375</v>
      </c>
      <c r="I240" s="893"/>
      <c r="J240" s="183"/>
      <c r="K240" s="197"/>
      <c r="L240" s="195">
        <v>0</v>
      </c>
      <c r="M240" s="559"/>
      <c r="N240" s="111" t="s">
        <v>19</v>
      </c>
      <c r="O240" s="1516"/>
      <c r="P240" s="299"/>
      <c r="Q240" s="299"/>
      <c r="R240" s="299"/>
      <c r="S240" s="164" t="s">
        <v>34</v>
      </c>
      <c r="T240" s="348" t="s">
        <v>34</v>
      </c>
      <c r="U240" s="349" t="s">
        <v>34</v>
      </c>
      <c r="V240" s="153" t="s">
        <v>35</v>
      </c>
      <c r="W240" s="419"/>
      <c r="X240" s="419"/>
      <c r="AE240" s="994"/>
      <c r="AF240" s="995"/>
      <c r="AG240" s="995"/>
      <c r="AH240" s="994"/>
      <c r="AI240" s="842"/>
      <c r="AJ240" s="844"/>
    </row>
    <row r="241" spans="3:36" ht="111" customHeight="1" x14ac:dyDescent="0.2">
      <c r="C241" s="2478" t="s">
        <v>427</v>
      </c>
      <c r="D241" s="1276">
        <v>1</v>
      </c>
      <c r="E241" s="175" t="s">
        <v>981</v>
      </c>
      <c r="F241" s="176" t="s">
        <v>985</v>
      </c>
      <c r="G241" s="175" t="s">
        <v>985</v>
      </c>
      <c r="H241" s="481" t="s">
        <v>369</v>
      </c>
      <c r="I241" s="943"/>
      <c r="J241" s="179"/>
      <c r="K241" s="197"/>
      <c r="L241" s="195">
        <v>0</v>
      </c>
      <c r="M241" s="195"/>
      <c r="N241" s="111" t="s">
        <v>19</v>
      </c>
      <c r="O241" s="1528"/>
      <c r="P241" s="299"/>
      <c r="Q241" s="299"/>
      <c r="R241" s="299"/>
      <c r="S241" s="164" t="s">
        <v>34</v>
      </c>
      <c r="T241" s="348" t="s">
        <v>34</v>
      </c>
      <c r="U241" s="349" t="s">
        <v>34</v>
      </c>
      <c r="V241" s="153" t="s">
        <v>35</v>
      </c>
      <c r="W241" s="419"/>
      <c r="X241" s="419"/>
      <c r="AE241" s="504" t="s">
        <v>24</v>
      </c>
      <c r="AH241" s="994"/>
      <c r="AI241" s="842"/>
      <c r="AJ241" s="844"/>
    </row>
    <row r="242" spans="3:36" ht="111" customHeight="1" x14ac:dyDescent="0.2">
      <c r="C242" s="2478"/>
      <c r="D242" s="1276">
        <v>2</v>
      </c>
      <c r="E242" s="175" t="s">
        <v>982</v>
      </c>
      <c r="F242" s="176" t="s">
        <v>986</v>
      </c>
      <c r="G242" s="175" t="s">
        <v>986</v>
      </c>
      <c r="H242" s="482" t="s">
        <v>1177</v>
      </c>
      <c r="I242" s="944"/>
      <c r="J242" s="179"/>
      <c r="K242" s="197"/>
      <c r="L242" s="195">
        <v>0</v>
      </c>
      <c r="M242" s="195"/>
      <c r="N242" s="111" t="s">
        <v>19</v>
      </c>
      <c r="O242" s="1528"/>
      <c r="P242" s="299"/>
      <c r="Q242" s="299"/>
      <c r="R242" s="299"/>
      <c r="S242" s="164" t="s">
        <v>34</v>
      </c>
      <c r="T242" s="348" t="s">
        <v>34</v>
      </c>
      <c r="U242" s="349" t="s">
        <v>34</v>
      </c>
      <c r="V242" s="153" t="s">
        <v>35</v>
      </c>
      <c r="W242" s="419"/>
      <c r="X242" s="419"/>
      <c r="AE242" s="994"/>
      <c r="AF242" s="995"/>
      <c r="AG242" s="995"/>
      <c r="AH242" s="994"/>
      <c r="AI242" s="842"/>
      <c r="AJ242" s="844"/>
    </row>
    <row r="243" spans="3:36" ht="111" customHeight="1" x14ac:dyDescent="0.2">
      <c r="C243" s="2478"/>
      <c r="D243" s="1276">
        <v>3</v>
      </c>
      <c r="E243" s="118" t="s">
        <v>983</v>
      </c>
      <c r="F243" s="97" t="s">
        <v>987</v>
      </c>
      <c r="G243" s="118" t="s">
        <v>987</v>
      </c>
      <c r="H243" s="483" t="s">
        <v>1178</v>
      </c>
      <c r="I243" s="945"/>
      <c r="J243" s="98" t="s">
        <v>50</v>
      </c>
      <c r="K243" s="199"/>
      <c r="L243" s="551">
        <v>0</v>
      </c>
      <c r="M243" s="551"/>
      <c r="N243" s="111" t="s">
        <v>19</v>
      </c>
      <c r="O243" s="1528"/>
      <c r="P243" s="299"/>
      <c r="Q243" s="299"/>
      <c r="R243" s="299"/>
      <c r="S243" s="164" t="s">
        <v>34</v>
      </c>
      <c r="T243" s="348" t="s">
        <v>34</v>
      </c>
      <c r="U243" s="349" t="s">
        <v>34</v>
      </c>
      <c r="V243" s="153" t="s">
        <v>35</v>
      </c>
      <c r="W243" s="419"/>
      <c r="X243" s="419"/>
      <c r="AE243" s="994"/>
      <c r="AF243" s="995"/>
      <c r="AG243" s="995"/>
      <c r="AH243" s="994"/>
      <c r="AI243" s="842"/>
      <c r="AJ243" s="844"/>
    </row>
    <row r="244" spans="3:36" ht="277" customHeight="1" x14ac:dyDescent="0.2">
      <c r="C244" s="2478"/>
      <c r="D244" s="8">
        <v>4</v>
      </c>
      <c r="E244" s="175" t="s">
        <v>984</v>
      </c>
      <c r="F244" s="581" t="s">
        <v>988</v>
      </c>
      <c r="G244" s="505" t="s">
        <v>989</v>
      </c>
      <c r="H244" s="582" t="s">
        <v>431</v>
      </c>
      <c r="I244" s="582"/>
      <c r="J244" s="505"/>
      <c r="K244" s="505"/>
      <c r="L244" s="580"/>
      <c r="M244" s="580"/>
      <c r="N244" s="559" t="s">
        <v>164</v>
      </c>
      <c r="O244" s="1529"/>
      <c r="P244" s="584"/>
      <c r="Q244" s="584"/>
      <c r="R244" s="584"/>
      <c r="S244" s="973"/>
      <c r="T244" s="974"/>
      <c r="U244" s="974"/>
      <c r="V244" s="696"/>
      <c r="W244" s="419"/>
      <c r="X244" s="419"/>
      <c r="AE244" s="994"/>
      <c r="AF244" s="995"/>
      <c r="AG244" s="995"/>
      <c r="AH244" s="994"/>
      <c r="AI244" s="842"/>
      <c r="AJ244" s="844"/>
    </row>
    <row r="245" spans="3:36" ht="58" customHeight="1" x14ac:dyDescent="0.2">
      <c r="C245" s="1235" t="s">
        <v>426</v>
      </c>
      <c r="E245" s="16"/>
      <c r="F245" s="272"/>
      <c r="H245" s="583"/>
      <c r="I245" s="583"/>
      <c r="J245" s="16"/>
      <c r="K245" s="16"/>
      <c r="L245" s="466"/>
      <c r="M245" s="466"/>
      <c r="N245" s="584"/>
      <c r="W245" s="419"/>
      <c r="X245" s="419"/>
      <c r="AE245" s="994"/>
      <c r="AF245" s="995"/>
      <c r="AG245" s="995"/>
      <c r="AH245" s="994"/>
      <c r="AI245" s="842"/>
      <c r="AJ245" s="844"/>
    </row>
    <row r="246" spans="3:36" ht="40" customHeight="1" x14ac:dyDescent="0.2">
      <c r="E246" s="17"/>
      <c r="F246" s="8"/>
      <c r="G246" s="8"/>
      <c r="H246" s="8"/>
      <c r="I246" s="8"/>
      <c r="J246" s="109"/>
      <c r="K246" s="109"/>
      <c r="L246" s="579"/>
      <c r="O246" s="1530"/>
      <c r="P246" s="110"/>
      <c r="Q246" s="110"/>
      <c r="R246" s="290"/>
      <c r="S246" s="290"/>
      <c r="T246" s="290"/>
      <c r="U246" s="290"/>
      <c r="V246" s="5"/>
      <c r="W246" s="412"/>
      <c r="X246" s="138"/>
      <c r="Y246" s="138"/>
      <c r="Z246"/>
      <c r="AA246"/>
      <c r="AB246"/>
      <c r="AC246"/>
      <c r="AD246"/>
    </row>
    <row r="247" spans="3:36" ht="40" customHeight="1" x14ac:dyDescent="0.2">
      <c r="E247" s="17"/>
      <c r="F247" s="8"/>
      <c r="G247" s="8"/>
      <c r="H247" s="8"/>
      <c r="I247" s="8"/>
      <c r="J247" s="109"/>
      <c r="K247" s="109"/>
      <c r="L247" s="579"/>
      <c r="O247" s="1530"/>
      <c r="P247" s="110"/>
      <c r="Q247" s="110"/>
      <c r="R247" s="290"/>
      <c r="S247" s="290"/>
      <c r="T247" s="290"/>
      <c r="U247" s="290"/>
      <c r="V247" s="5"/>
      <c r="W247" s="412"/>
      <c r="X247" s="138"/>
      <c r="Y247" s="138"/>
      <c r="Z247"/>
      <c r="AA247"/>
      <c r="AB247"/>
      <c r="AC247"/>
      <c r="AD247"/>
    </row>
    <row r="248" spans="3:36" ht="40" customHeight="1" x14ac:dyDescent="0.2">
      <c r="E248" s="17"/>
      <c r="F248" s="8"/>
      <c r="G248" s="8"/>
      <c r="H248" s="8"/>
      <c r="I248" s="8"/>
      <c r="J248" s="109"/>
      <c r="K248" s="109"/>
      <c r="L248" s="579"/>
      <c r="O248" s="1530"/>
      <c r="P248" s="110"/>
      <c r="Q248" s="110"/>
      <c r="R248" s="290"/>
      <c r="S248" s="290"/>
      <c r="T248" s="290"/>
      <c r="U248" s="290"/>
      <c r="V248" s="5"/>
      <c r="W248" s="412"/>
      <c r="X248" s="138"/>
      <c r="Y248" s="138"/>
      <c r="Z248"/>
      <c r="AA248"/>
      <c r="AB248"/>
      <c r="AC248"/>
      <c r="AD248"/>
    </row>
    <row r="249" spans="3:36" ht="40" customHeight="1" x14ac:dyDescent="0.2">
      <c r="G249" s="8"/>
      <c r="O249" s="528"/>
    </row>
    <row r="250" spans="3:36" ht="40" customHeight="1" x14ac:dyDescent="0.2">
      <c r="G250" s="8"/>
      <c r="O250" s="528"/>
    </row>
    <row r="251" spans="3:36" ht="40" customHeight="1" x14ac:dyDescent="0.2">
      <c r="G251" s="8"/>
      <c r="O251" s="528"/>
    </row>
    <row r="252" spans="3:36" ht="40" customHeight="1" x14ac:dyDescent="0.2">
      <c r="G252" s="8"/>
      <c r="O252" s="528"/>
    </row>
    <row r="253" spans="3:36" ht="40" customHeight="1" x14ac:dyDescent="0.2">
      <c r="G253" s="8"/>
      <c r="O253" s="528"/>
    </row>
    <row r="254" spans="3:36" ht="40" customHeight="1" x14ac:dyDescent="0.2">
      <c r="G254" s="8"/>
      <c r="O254" s="528"/>
    </row>
    <row r="255" spans="3:36" ht="40" customHeight="1" x14ac:dyDescent="0.2">
      <c r="G255" s="8"/>
      <c r="O255" s="528"/>
    </row>
    <row r="256" spans="3:36" ht="40" customHeight="1" x14ac:dyDescent="0.2">
      <c r="G256" s="8"/>
      <c r="O256" s="528"/>
    </row>
    <row r="257" spans="7:15" ht="40" customHeight="1" x14ac:dyDescent="0.2">
      <c r="G257" s="8"/>
      <c r="O257" s="528"/>
    </row>
    <row r="258" spans="7:15" ht="40" customHeight="1" x14ac:dyDescent="0.2">
      <c r="G258" s="8"/>
      <c r="O258" s="528"/>
    </row>
    <row r="259" spans="7:15" ht="40" customHeight="1" x14ac:dyDescent="0.2">
      <c r="G259" s="8"/>
      <c r="O259" s="528"/>
    </row>
    <row r="260" spans="7:15" ht="40" customHeight="1" x14ac:dyDescent="0.2">
      <c r="G260" s="8"/>
      <c r="O260" s="528"/>
    </row>
    <row r="261" spans="7:15" ht="40" customHeight="1" x14ac:dyDescent="0.2">
      <c r="G261" s="8"/>
      <c r="O261" s="528"/>
    </row>
    <row r="262" spans="7:15" ht="40" customHeight="1" x14ac:dyDescent="0.2">
      <c r="G262" s="8"/>
      <c r="O262" s="528"/>
    </row>
    <row r="263" spans="7:15" ht="40" customHeight="1" x14ac:dyDescent="0.2">
      <c r="G263" s="8"/>
      <c r="O263" s="528"/>
    </row>
    <row r="264" spans="7:15" ht="40" customHeight="1" x14ac:dyDescent="0.2">
      <c r="G264" s="8"/>
      <c r="O264" s="528"/>
    </row>
    <row r="265" spans="7:15" ht="40" customHeight="1" x14ac:dyDescent="0.2">
      <c r="G265" s="8"/>
      <c r="O265" s="528"/>
    </row>
    <row r="266" spans="7:15" ht="40" customHeight="1" x14ac:dyDescent="0.2">
      <c r="G266" s="8"/>
      <c r="O266" s="528"/>
    </row>
    <row r="267" spans="7:15" ht="40" customHeight="1" x14ac:dyDescent="0.2">
      <c r="G267" s="8"/>
      <c r="O267" s="528"/>
    </row>
    <row r="268" spans="7:15" ht="40" customHeight="1" x14ac:dyDescent="0.2">
      <c r="G268" s="8"/>
      <c r="O268" s="528"/>
    </row>
    <row r="269" spans="7:15" ht="40" customHeight="1" x14ac:dyDescent="0.2">
      <c r="G269" s="8"/>
      <c r="O269" s="528"/>
    </row>
    <row r="270" spans="7:15" ht="40" customHeight="1" x14ac:dyDescent="0.2">
      <c r="G270" s="8"/>
      <c r="O270" s="528"/>
    </row>
    <row r="271" spans="7:15" ht="40" customHeight="1" x14ac:dyDescent="0.2">
      <c r="G271" s="8"/>
      <c r="O271" s="528"/>
    </row>
    <row r="272" spans="7:15" ht="40" customHeight="1" x14ac:dyDescent="0.2">
      <c r="G272" s="8"/>
      <c r="O272" s="528"/>
    </row>
    <row r="273" spans="7:15" ht="40" customHeight="1" x14ac:dyDescent="0.2">
      <c r="G273" s="8"/>
      <c r="O273" s="528"/>
    </row>
    <row r="274" spans="7:15" ht="40" customHeight="1" x14ac:dyDescent="0.2">
      <c r="G274" s="8"/>
      <c r="O274" s="528"/>
    </row>
    <row r="275" spans="7:15" ht="40" customHeight="1" x14ac:dyDescent="0.2">
      <c r="G275" s="8"/>
      <c r="O275" s="528"/>
    </row>
    <row r="276" spans="7:15" ht="40" customHeight="1" x14ac:dyDescent="0.2">
      <c r="G276" s="8"/>
      <c r="O276" s="528"/>
    </row>
    <row r="277" spans="7:15" ht="40" customHeight="1" x14ac:dyDescent="0.2">
      <c r="G277" s="8"/>
      <c r="O277" s="528"/>
    </row>
    <row r="278" spans="7:15" ht="40" customHeight="1" x14ac:dyDescent="0.2">
      <c r="G278" s="8"/>
      <c r="O278" s="528"/>
    </row>
    <row r="279" spans="7:15" ht="40" customHeight="1" x14ac:dyDescent="0.2">
      <c r="G279" s="8"/>
      <c r="O279" s="528"/>
    </row>
    <row r="280" spans="7:15" ht="40" customHeight="1" x14ac:dyDescent="0.2">
      <c r="G280" s="8"/>
      <c r="O280" s="528"/>
    </row>
    <row r="281" spans="7:15" ht="40" customHeight="1" x14ac:dyDescent="0.2">
      <c r="G281" s="8"/>
      <c r="O281" s="528"/>
    </row>
    <row r="282" spans="7:15" ht="40" customHeight="1" x14ac:dyDescent="0.2">
      <c r="G282" s="8"/>
      <c r="O282" s="528"/>
    </row>
    <row r="283" spans="7:15" ht="40" customHeight="1" x14ac:dyDescent="0.2">
      <c r="G283" s="8"/>
      <c r="O283" s="528"/>
    </row>
    <row r="284" spans="7:15" ht="40" customHeight="1" x14ac:dyDescent="0.2">
      <c r="G284" s="8"/>
      <c r="O284" s="528"/>
    </row>
    <row r="285" spans="7:15" ht="40" customHeight="1" x14ac:dyDescent="0.2">
      <c r="G285" s="8"/>
      <c r="O285" s="528"/>
    </row>
    <row r="286" spans="7:15" ht="40" customHeight="1" x14ac:dyDescent="0.2">
      <c r="G286" s="8"/>
      <c r="O286" s="528"/>
    </row>
    <row r="287" spans="7:15" ht="40" customHeight="1" x14ac:dyDescent="0.2">
      <c r="G287" s="8"/>
      <c r="O287" s="528"/>
    </row>
    <row r="288" spans="7:15" ht="40" customHeight="1" x14ac:dyDescent="0.2">
      <c r="G288" s="8"/>
      <c r="O288" s="528"/>
    </row>
    <row r="289" spans="7:15" ht="40" customHeight="1" x14ac:dyDescent="0.2">
      <c r="G289" s="8"/>
      <c r="O289" s="528"/>
    </row>
    <row r="290" spans="7:15" ht="40" customHeight="1" x14ac:dyDescent="0.2">
      <c r="G290" s="8"/>
      <c r="O290" s="528"/>
    </row>
    <row r="291" spans="7:15" ht="40" customHeight="1" x14ac:dyDescent="0.2">
      <c r="G291" s="8"/>
      <c r="O291" s="528"/>
    </row>
    <row r="292" spans="7:15" ht="40" customHeight="1" x14ac:dyDescent="0.2">
      <c r="G292" s="8"/>
      <c r="O292" s="528"/>
    </row>
    <row r="293" spans="7:15" ht="40" customHeight="1" x14ac:dyDescent="0.2">
      <c r="G293" s="8"/>
      <c r="O293" s="528"/>
    </row>
    <row r="294" spans="7:15" ht="40" customHeight="1" x14ac:dyDescent="0.2">
      <c r="G294" s="8"/>
      <c r="O294" s="528"/>
    </row>
    <row r="295" spans="7:15" ht="40" customHeight="1" x14ac:dyDescent="0.2">
      <c r="G295" s="8"/>
      <c r="O295" s="528"/>
    </row>
    <row r="296" spans="7:15" ht="40" customHeight="1" x14ac:dyDescent="0.2">
      <c r="G296" s="8"/>
      <c r="O296" s="528"/>
    </row>
    <row r="297" spans="7:15" ht="40" customHeight="1" x14ac:dyDescent="0.2">
      <c r="G297" s="8"/>
      <c r="O297" s="528"/>
    </row>
    <row r="298" spans="7:15" ht="40" customHeight="1" x14ac:dyDescent="0.2">
      <c r="G298" s="8"/>
      <c r="O298" s="528"/>
    </row>
    <row r="299" spans="7:15" ht="40" customHeight="1" x14ac:dyDescent="0.2">
      <c r="G299" s="8"/>
      <c r="O299" s="528"/>
    </row>
    <row r="300" spans="7:15" ht="40" customHeight="1" x14ac:dyDescent="0.2">
      <c r="G300" s="8"/>
      <c r="O300" s="528"/>
    </row>
    <row r="301" spans="7:15" ht="40" customHeight="1" x14ac:dyDescent="0.2">
      <c r="G301" s="8"/>
      <c r="O301" s="528"/>
    </row>
    <row r="302" spans="7:15" ht="40" customHeight="1" x14ac:dyDescent="0.2">
      <c r="G302" s="8"/>
      <c r="O302" s="528"/>
    </row>
    <row r="303" spans="7:15" ht="40" customHeight="1" x14ac:dyDescent="0.2">
      <c r="G303" s="8"/>
      <c r="O303" s="528"/>
    </row>
    <row r="304" spans="7:15" ht="40" customHeight="1" x14ac:dyDescent="0.2">
      <c r="G304" s="8"/>
      <c r="O304" s="528"/>
    </row>
    <row r="305" spans="7:15" ht="40" customHeight="1" x14ac:dyDescent="0.2">
      <c r="G305" s="8"/>
      <c r="O305" s="528"/>
    </row>
    <row r="306" spans="7:15" ht="40" customHeight="1" x14ac:dyDescent="0.2">
      <c r="G306" s="8"/>
      <c r="O306" s="528"/>
    </row>
    <row r="307" spans="7:15" ht="40" customHeight="1" x14ac:dyDescent="0.2">
      <c r="G307" s="8"/>
      <c r="O307" s="528"/>
    </row>
    <row r="308" spans="7:15" ht="40" customHeight="1" x14ac:dyDescent="0.2">
      <c r="G308" s="8"/>
      <c r="O308" s="528"/>
    </row>
    <row r="309" spans="7:15" ht="40" customHeight="1" x14ac:dyDescent="0.2">
      <c r="G309" s="8"/>
      <c r="O309" s="528"/>
    </row>
    <row r="310" spans="7:15" ht="40" customHeight="1" x14ac:dyDescent="0.2">
      <c r="G310" s="8"/>
      <c r="O310" s="528"/>
    </row>
    <row r="311" spans="7:15" ht="40" customHeight="1" x14ac:dyDescent="0.2">
      <c r="G311" s="8"/>
      <c r="O311" s="528"/>
    </row>
    <row r="312" spans="7:15" ht="40" customHeight="1" x14ac:dyDescent="0.2">
      <c r="G312" s="8"/>
      <c r="O312" s="528"/>
    </row>
    <row r="313" spans="7:15" ht="40" customHeight="1" x14ac:dyDescent="0.2">
      <c r="G313" s="8"/>
      <c r="O313" s="528"/>
    </row>
    <row r="314" spans="7:15" ht="40" customHeight="1" x14ac:dyDescent="0.2">
      <c r="G314" s="8"/>
      <c r="O314" s="528"/>
    </row>
    <row r="315" spans="7:15" ht="40" customHeight="1" x14ac:dyDescent="0.2">
      <c r="G315" s="8"/>
      <c r="O315" s="528"/>
    </row>
    <row r="316" spans="7:15" ht="40" customHeight="1" x14ac:dyDescent="0.2">
      <c r="G316" s="8"/>
      <c r="O316" s="528"/>
    </row>
    <row r="317" spans="7:15" ht="40" customHeight="1" x14ac:dyDescent="0.2">
      <c r="G317" s="8"/>
      <c r="O317" s="528"/>
    </row>
    <row r="318" spans="7:15" ht="40" customHeight="1" x14ac:dyDescent="0.2">
      <c r="G318" s="8"/>
      <c r="O318" s="528"/>
    </row>
    <row r="319" spans="7:15" ht="40" customHeight="1" x14ac:dyDescent="0.2">
      <c r="G319" s="8"/>
      <c r="O319" s="528"/>
    </row>
    <row r="320" spans="7:15" ht="40" customHeight="1" x14ac:dyDescent="0.2">
      <c r="G320" s="8"/>
      <c r="O320" s="528"/>
    </row>
    <row r="321" spans="7:15" ht="40" customHeight="1" x14ac:dyDescent="0.2">
      <c r="G321" s="8"/>
      <c r="O321" s="528"/>
    </row>
    <row r="322" spans="7:15" ht="40" customHeight="1" x14ac:dyDescent="0.2">
      <c r="G322" s="8"/>
      <c r="O322" s="528"/>
    </row>
    <row r="323" spans="7:15" ht="40" customHeight="1" x14ac:dyDescent="0.2">
      <c r="G323" s="8"/>
      <c r="O323" s="528"/>
    </row>
    <row r="324" spans="7:15" ht="40" customHeight="1" x14ac:dyDescent="0.2">
      <c r="G324" s="8"/>
      <c r="O324" s="528"/>
    </row>
    <row r="325" spans="7:15" ht="40" customHeight="1" x14ac:dyDescent="0.2">
      <c r="G325" s="8"/>
      <c r="O325" s="528"/>
    </row>
    <row r="326" spans="7:15" ht="40" customHeight="1" x14ac:dyDescent="0.2">
      <c r="G326" s="8"/>
      <c r="O326" s="528"/>
    </row>
    <row r="327" spans="7:15" ht="40" customHeight="1" x14ac:dyDescent="0.2">
      <c r="G327" s="8"/>
      <c r="O327" s="528"/>
    </row>
    <row r="328" spans="7:15" ht="40" customHeight="1" x14ac:dyDescent="0.2">
      <c r="G328" s="8"/>
      <c r="O328" s="528"/>
    </row>
    <row r="329" spans="7:15" ht="40" customHeight="1" x14ac:dyDescent="0.2">
      <c r="G329" s="8"/>
      <c r="O329" s="528"/>
    </row>
    <row r="330" spans="7:15" ht="40" customHeight="1" x14ac:dyDescent="0.2">
      <c r="G330" s="8"/>
      <c r="O330" s="528"/>
    </row>
    <row r="331" spans="7:15" ht="40" customHeight="1" x14ac:dyDescent="0.2">
      <c r="G331" s="8"/>
      <c r="O331" s="528"/>
    </row>
    <row r="332" spans="7:15" ht="40" customHeight="1" x14ac:dyDescent="0.2">
      <c r="G332" s="8"/>
      <c r="O332" s="528"/>
    </row>
    <row r="333" spans="7:15" ht="40" customHeight="1" x14ac:dyDescent="0.2">
      <c r="G333" s="8"/>
      <c r="O333" s="528"/>
    </row>
    <row r="334" spans="7:15" ht="40" customHeight="1" x14ac:dyDescent="0.2">
      <c r="G334" s="8"/>
      <c r="O334" s="528"/>
    </row>
    <row r="335" spans="7:15" ht="40" customHeight="1" x14ac:dyDescent="0.2">
      <c r="G335" s="8"/>
      <c r="O335" s="528"/>
    </row>
    <row r="336" spans="7:15" ht="40" customHeight="1" x14ac:dyDescent="0.2">
      <c r="G336" s="8"/>
      <c r="O336" s="528"/>
    </row>
    <row r="337" spans="7:15" ht="40" customHeight="1" x14ac:dyDescent="0.2">
      <c r="G337" s="8"/>
      <c r="O337" s="528"/>
    </row>
    <row r="338" spans="7:15" ht="40" customHeight="1" x14ac:dyDescent="0.2">
      <c r="G338" s="8"/>
      <c r="O338" s="528"/>
    </row>
    <row r="339" spans="7:15" ht="40" customHeight="1" x14ac:dyDescent="0.2">
      <c r="G339" s="8"/>
      <c r="O339" s="528"/>
    </row>
    <row r="340" spans="7:15" ht="40" customHeight="1" x14ac:dyDescent="0.2">
      <c r="G340" s="8"/>
      <c r="O340" s="528"/>
    </row>
    <row r="341" spans="7:15" ht="40" customHeight="1" x14ac:dyDescent="0.2">
      <c r="G341" s="8"/>
      <c r="O341" s="528"/>
    </row>
    <row r="342" spans="7:15" ht="40" customHeight="1" x14ac:dyDescent="0.2">
      <c r="G342" s="8"/>
      <c r="O342" s="528"/>
    </row>
    <row r="343" spans="7:15" ht="40" customHeight="1" x14ac:dyDescent="0.2">
      <c r="G343" s="8"/>
      <c r="O343" s="528"/>
    </row>
    <row r="344" spans="7:15" ht="40" customHeight="1" x14ac:dyDescent="0.2">
      <c r="G344" s="8"/>
      <c r="O344" s="528"/>
    </row>
    <row r="345" spans="7:15" ht="40" customHeight="1" x14ac:dyDescent="0.2">
      <c r="G345" s="8"/>
      <c r="O345" s="528"/>
    </row>
    <row r="346" spans="7:15" ht="40" customHeight="1" x14ac:dyDescent="0.2">
      <c r="G346" s="8"/>
      <c r="O346" s="528"/>
    </row>
    <row r="347" spans="7:15" ht="40" customHeight="1" x14ac:dyDescent="0.2">
      <c r="G347" s="8"/>
      <c r="O347" s="528"/>
    </row>
    <row r="348" spans="7:15" ht="40" customHeight="1" x14ac:dyDescent="0.2">
      <c r="G348" s="8"/>
      <c r="O348" s="528"/>
    </row>
    <row r="349" spans="7:15" ht="40" customHeight="1" x14ac:dyDescent="0.2">
      <c r="G349" s="8"/>
      <c r="O349" s="528"/>
    </row>
    <row r="350" spans="7:15" ht="40" customHeight="1" x14ac:dyDescent="0.2">
      <c r="G350" s="8"/>
      <c r="O350" s="528"/>
    </row>
    <row r="351" spans="7:15" ht="40" customHeight="1" x14ac:dyDescent="0.2">
      <c r="G351" s="8"/>
      <c r="O351" s="528"/>
    </row>
    <row r="352" spans="7:15" ht="40" customHeight="1" x14ac:dyDescent="0.2">
      <c r="G352" s="8"/>
      <c r="O352" s="528"/>
    </row>
    <row r="353" spans="7:15" ht="40" customHeight="1" x14ac:dyDescent="0.2">
      <c r="G353" s="8"/>
      <c r="O353" s="528"/>
    </row>
    <row r="354" spans="7:15" ht="40" customHeight="1" x14ac:dyDescent="0.2">
      <c r="G354" s="8"/>
      <c r="O354" s="528"/>
    </row>
    <row r="355" spans="7:15" ht="40" customHeight="1" x14ac:dyDescent="0.2">
      <c r="G355" s="8"/>
      <c r="O355" s="528"/>
    </row>
    <row r="356" spans="7:15" ht="40" customHeight="1" x14ac:dyDescent="0.2">
      <c r="G356" s="8"/>
      <c r="O356" s="528"/>
    </row>
    <row r="357" spans="7:15" ht="40" customHeight="1" x14ac:dyDescent="0.2">
      <c r="G357" s="8"/>
      <c r="O357" s="528"/>
    </row>
  </sheetData>
  <sortState xmlns:xlrd2="http://schemas.microsoft.com/office/spreadsheetml/2017/richdata2" ref="AX2:AX13">
    <sortCondition ref="AX2:AX13"/>
  </sortState>
  <mergeCells count="13">
    <mergeCell ref="L2:L6"/>
    <mergeCell ref="AJ74:AJ75"/>
    <mergeCell ref="L9:L13"/>
    <mergeCell ref="D15:D17"/>
    <mergeCell ref="S17:U17"/>
    <mergeCell ref="AH17:AJ17"/>
    <mergeCell ref="AE17:AG17"/>
    <mergeCell ref="A17:C17"/>
    <mergeCell ref="L17:M17"/>
    <mergeCell ref="N17:O17"/>
    <mergeCell ref="C241:C244"/>
    <mergeCell ref="C213:C214"/>
    <mergeCell ref="A215:A216"/>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189" zoomScale="93" zoomScaleNormal="93" workbookViewId="0">
      <selection activeCell="J195" sqref="J195"/>
    </sheetView>
  </sheetViews>
  <sheetFormatPr baseColWidth="10" defaultColWidth="11" defaultRowHeight="16" outlineLevelRow="1" x14ac:dyDescent="0.2"/>
  <cols>
    <col min="1" max="1" width="9.1640625" customWidth="1"/>
    <col min="2" max="2" width="54.6640625" customWidth="1"/>
    <col min="3" max="3" width="24" customWidth="1"/>
    <col min="4" max="4" width="10.1640625" style="267" customWidth="1"/>
    <col min="5" max="13" width="5.5" customWidth="1"/>
    <col min="14" max="15" width="5.5" hidden="1"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2" thickBot="1" x14ac:dyDescent="0.25">
      <c r="F1" t="s">
        <v>395</v>
      </c>
      <c r="H1" s="471">
        <v>0</v>
      </c>
      <c r="I1" t="s">
        <v>394</v>
      </c>
      <c r="W1" s="504" t="s">
        <v>24</v>
      </c>
      <c r="X1" s="291" t="s">
        <v>417</v>
      </c>
    </row>
    <row r="2" spans="1:24" ht="25" thickTop="1" x14ac:dyDescent="0.3">
      <c r="A2" s="101" t="s">
        <v>211</v>
      </c>
      <c r="I2" t="s">
        <v>998</v>
      </c>
      <c r="W2" s="504" t="s">
        <v>25</v>
      </c>
      <c r="X2" s="291" t="s">
        <v>418</v>
      </c>
    </row>
    <row r="3" spans="1:24" ht="21" x14ac:dyDescent="0.2">
      <c r="A3" s="1195" t="str">
        <f>BIBLE!E20</f>
        <v>B00</v>
      </c>
      <c r="B3" t="str">
        <f>BIBLE!F20</f>
        <v xml:space="preserve">Identification: Qui êtes-vous ? </v>
      </c>
      <c r="D3" s="1658" t="s">
        <v>1010</v>
      </c>
      <c r="E3" s="267"/>
      <c r="P3" s="1460">
        <f>'TEST_pour PROTOTYPE'!D4</f>
        <v>1</v>
      </c>
      <c r="W3" s="504"/>
      <c r="X3" s="291"/>
    </row>
    <row r="4" spans="1:24" ht="16" customHeight="1" x14ac:dyDescent="0.2">
      <c r="A4" s="1195"/>
      <c r="B4" s="2" t="s">
        <v>473</v>
      </c>
      <c r="D4" s="1658">
        <v>1</v>
      </c>
      <c r="E4" s="1466">
        <f>IF(P$3=D4,1,"x")</f>
        <v>1</v>
      </c>
      <c r="W4" s="504"/>
      <c r="X4" s="291"/>
    </row>
    <row r="5" spans="1:24" ht="16" customHeight="1" x14ac:dyDescent="0.2">
      <c r="A5" s="1195"/>
      <c r="B5" s="2" t="s">
        <v>474</v>
      </c>
      <c r="D5" s="1658">
        <v>2</v>
      </c>
      <c r="E5" s="1466" t="str">
        <f t="shared" ref="E5:E9" si="0">IF(P$3=D5,1,"x")</f>
        <v>x</v>
      </c>
      <c r="W5" s="504"/>
      <c r="X5" s="291"/>
    </row>
    <row r="6" spans="1:24" ht="16" customHeight="1" x14ac:dyDescent="0.2">
      <c r="A6" s="1195"/>
      <c r="B6" s="2" t="s">
        <v>475</v>
      </c>
      <c r="D6" s="1658">
        <v>3</v>
      </c>
      <c r="E6" s="1466" t="str">
        <f t="shared" si="0"/>
        <v>x</v>
      </c>
      <c r="W6" s="504"/>
      <c r="X6" s="291"/>
    </row>
    <row r="7" spans="1:24" ht="16" customHeight="1" x14ac:dyDescent="0.2">
      <c r="A7" s="1195"/>
      <c r="B7" s="2" t="s">
        <v>476</v>
      </c>
      <c r="D7" s="1658">
        <v>4</v>
      </c>
      <c r="E7" s="1466" t="str">
        <f t="shared" si="0"/>
        <v>x</v>
      </c>
      <c r="W7" s="504"/>
      <c r="X7" s="291"/>
    </row>
    <row r="8" spans="1:24" ht="16" customHeight="1" x14ac:dyDescent="0.2">
      <c r="A8" s="1195"/>
      <c r="B8" s="2" t="s">
        <v>477</v>
      </c>
      <c r="D8" s="1658">
        <v>5</v>
      </c>
      <c r="E8" s="1466" t="str">
        <f t="shared" si="0"/>
        <v>x</v>
      </c>
      <c r="W8" s="504"/>
      <c r="X8" s="291"/>
    </row>
    <row r="9" spans="1:24" ht="16" customHeight="1" x14ac:dyDescent="0.2">
      <c r="A9" s="1195"/>
      <c r="B9" s="2" t="s">
        <v>478</v>
      </c>
      <c r="D9" s="1658" t="s">
        <v>1169</v>
      </c>
      <c r="E9" s="1466" t="str">
        <f t="shared" si="0"/>
        <v>x</v>
      </c>
      <c r="W9" s="504"/>
      <c r="X9" s="291"/>
    </row>
    <row r="10" spans="1:24" ht="21" x14ac:dyDescent="0.2">
      <c r="A10" s="1195"/>
      <c r="D10" s="1658"/>
      <c r="W10" s="504"/>
      <c r="X10" s="291"/>
    </row>
    <row r="11" spans="1:24" x14ac:dyDescent="0.2">
      <c r="A11" s="1195" t="str">
        <f>BIBLE!E21</f>
        <v>B01</v>
      </c>
      <c r="B11" t="str">
        <f>IF($P$3&gt;=4,BIBLE!F21," ")</f>
        <v xml:space="preserve"> </v>
      </c>
      <c r="D11" s="1658"/>
      <c r="P11" s="1460">
        <f>'TEST_pour PROTOTYPE'!D5</f>
        <v>0</v>
      </c>
      <c r="X11" s="291" t="s">
        <v>419</v>
      </c>
    </row>
    <row r="12" spans="1:24" ht="20" customHeight="1" x14ac:dyDescent="0.2">
      <c r="A12" s="1195"/>
      <c r="B12" t="str">
        <f>IF($P$3&gt;=4,"Une autre mère"," ")</f>
        <v xml:space="preserve"> </v>
      </c>
      <c r="C12" s="2"/>
      <c r="D12" s="1658">
        <v>1</v>
      </c>
      <c r="E12" s="1466" t="str">
        <f>IF(P$11=D12,1,"x")</f>
        <v>x</v>
      </c>
    </row>
    <row r="13" spans="1:24" ht="18" customHeight="1" x14ac:dyDescent="0.2">
      <c r="A13" s="1195"/>
      <c r="B13" t="str">
        <f>IF($P$3&gt;=4,"Un autre père "," ")</f>
        <v xml:space="preserve"> </v>
      </c>
      <c r="C13" s="2"/>
      <c r="D13" s="1658">
        <v>2</v>
      </c>
      <c r="E13" s="1466" t="str">
        <f t="shared" ref="E13:E14" si="1">IF(P$11=D13,1,"x")</f>
        <v>x</v>
      </c>
      <c r="W13" t="s">
        <v>420</v>
      </c>
    </row>
    <row r="14" spans="1:24" ht="18" customHeight="1" x14ac:dyDescent="0.2">
      <c r="A14" s="1195"/>
      <c r="B14" t="str">
        <f>IF($P$3&gt;=4,"Un autre parent (non binaire)"," ")</f>
        <v xml:space="preserve"> </v>
      </c>
      <c r="C14" s="2"/>
      <c r="D14" s="1658">
        <v>3</v>
      </c>
      <c r="E14" s="1466" t="str">
        <f t="shared" si="1"/>
        <v>x</v>
      </c>
    </row>
    <row r="15" spans="1:24" x14ac:dyDescent="0.2">
      <c r="A15" s="1195"/>
      <c r="D15" s="1658"/>
    </row>
    <row r="16" spans="1:24" x14ac:dyDescent="0.2">
      <c r="A16" s="1195" t="str">
        <f>BIBLE!E22</f>
        <v>B02</v>
      </c>
      <c r="B16" t="str">
        <f>BIBLE!F22</f>
        <v>Souhaitez-vous faire une analyse au présent ou de manière rétrospective ?</v>
      </c>
      <c r="C16" s="9"/>
      <c r="D16" s="1658"/>
      <c r="P16" s="1460">
        <f>'TEST_pour PROTOTYPE'!D6</f>
        <v>1</v>
      </c>
    </row>
    <row r="17" spans="1:16" ht="19" customHeight="1" x14ac:dyDescent="0.2">
      <c r="A17" s="1195"/>
      <c r="B17" s="2" t="s">
        <v>781</v>
      </c>
      <c r="D17" s="1658">
        <v>1</v>
      </c>
      <c r="E17" s="1466">
        <f>IF(P$16=D17,1,"x")</f>
        <v>1</v>
      </c>
    </row>
    <row r="18" spans="1:16" ht="19" customHeight="1" x14ac:dyDescent="0.2">
      <c r="A18" s="1195"/>
      <c r="B18" s="2" t="s">
        <v>422</v>
      </c>
      <c r="D18" s="1658">
        <v>2</v>
      </c>
      <c r="E18" s="1466" t="str">
        <f>IF(P$16=D18,1,"x")</f>
        <v>x</v>
      </c>
    </row>
    <row r="19" spans="1:16" ht="19" customHeight="1" x14ac:dyDescent="0.2">
      <c r="A19" s="1195"/>
      <c r="D19" s="1658"/>
    </row>
    <row r="20" spans="1:16" x14ac:dyDescent="0.2">
      <c r="A20" s="1195"/>
      <c r="D20" s="1658"/>
    </row>
    <row r="21" spans="1:16" x14ac:dyDescent="0.2">
      <c r="A21" s="1195" t="str">
        <f>BIBLE!E23</f>
        <v>B03</v>
      </c>
      <c r="B21" t="str">
        <f>BIBLE!F23</f>
        <v xml:space="preserve">Quelle a été la durée de vie commune avec l'autre parent (coparent) ?
</v>
      </c>
      <c r="D21" s="1658"/>
      <c r="P21" s="1460">
        <f>'TEST_pour PROTOTYPE'!D7</f>
        <v>1</v>
      </c>
    </row>
    <row r="22" spans="1:16" ht="14" customHeight="1" x14ac:dyDescent="0.2">
      <c r="A22" s="1195"/>
      <c r="B22" s="2" t="s">
        <v>1272</v>
      </c>
      <c r="D22" s="1658">
        <v>1</v>
      </c>
      <c r="E22" s="1466">
        <f>IF(P$21=D22,1,"x")</f>
        <v>1</v>
      </c>
    </row>
    <row r="23" spans="1:16" ht="14" customHeight="1" x14ac:dyDescent="0.2">
      <c r="A23" s="1195"/>
      <c r="B23" s="2" t="s">
        <v>221</v>
      </c>
      <c r="D23" s="1658">
        <v>2</v>
      </c>
      <c r="E23" s="1466" t="str">
        <f t="shared" ref="E23:E26" si="2">IF(P$21=D23,1,"x")</f>
        <v>x</v>
      </c>
    </row>
    <row r="24" spans="1:16" ht="14" customHeight="1" x14ac:dyDescent="0.2">
      <c r="A24" s="1195"/>
      <c r="B24" s="2" t="s">
        <v>222</v>
      </c>
      <c r="D24" s="1658">
        <v>3</v>
      </c>
      <c r="E24" s="1466" t="str">
        <f t="shared" si="2"/>
        <v>x</v>
      </c>
    </row>
    <row r="25" spans="1:16" ht="14" customHeight="1" x14ac:dyDescent="0.2">
      <c r="A25" s="1195"/>
      <c r="B25" s="2" t="s">
        <v>1478</v>
      </c>
      <c r="D25" s="1658">
        <v>4</v>
      </c>
      <c r="E25" s="1466" t="str">
        <f t="shared" si="2"/>
        <v>x</v>
      </c>
    </row>
    <row r="26" spans="1:16" ht="14" customHeight="1" x14ac:dyDescent="0.2">
      <c r="A26" s="1195"/>
      <c r="B26" s="2" t="s">
        <v>219</v>
      </c>
      <c r="D26" s="1658">
        <v>5</v>
      </c>
      <c r="E26" s="1466" t="str">
        <f t="shared" si="2"/>
        <v>x</v>
      </c>
    </row>
    <row r="27" spans="1:16" x14ac:dyDescent="0.2">
      <c r="A27" s="1195" t="str">
        <f>BIBLE!E24</f>
        <v>B04</v>
      </c>
      <c r="B27" t="str">
        <f>BIBLE!F24</f>
        <v xml:space="preserve">Depuis combien de temps êtes vous séparé·e de l'autre parent (coparent) ? </v>
      </c>
      <c r="D27" s="1658"/>
      <c r="P27" s="1460">
        <f>'TEST_pour PROTOTYPE'!D8</f>
        <v>2</v>
      </c>
    </row>
    <row r="28" spans="1:16" ht="14" customHeight="1" x14ac:dyDescent="0.2">
      <c r="A28" s="1195"/>
      <c r="B28" s="2" t="s">
        <v>218</v>
      </c>
      <c r="D28" s="1658">
        <v>1</v>
      </c>
      <c r="E28" s="1466" t="str">
        <f>IF(P$27=D28,1,"x")</f>
        <v>x</v>
      </c>
    </row>
    <row r="29" spans="1:16" ht="14" customHeight="1" x14ac:dyDescent="0.2">
      <c r="A29" s="1195"/>
      <c r="B29" s="2" t="s">
        <v>220</v>
      </c>
      <c r="D29" s="1658">
        <v>2</v>
      </c>
      <c r="E29" s="1466">
        <f t="shared" ref="E29:E32" si="3">IF(P$27=D29,1,"x")</f>
        <v>1</v>
      </c>
    </row>
    <row r="30" spans="1:16" ht="14" customHeight="1" x14ac:dyDescent="0.2">
      <c r="A30" s="1195"/>
      <c r="B30" s="2" t="s">
        <v>221</v>
      </c>
      <c r="D30" s="1658">
        <v>3</v>
      </c>
      <c r="E30" s="1466" t="str">
        <f t="shared" si="3"/>
        <v>x</v>
      </c>
      <c r="G30" s="3"/>
      <c r="I30" s="141"/>
    </row>
    <row r="31" spans="1:16" ht="14" customHeight="1" x14ac:dyDescent="0.2">
      <c r="A31" s="1195"/>
      <c r="B31" s="2" t="s">
        <v>222</v>
      </c>
      <c r="D31" s="1658">
        <v>4</v>
      </c>
      <c r="E31" s="1466" t="str">
        <f t="shared" si="3"/>
        <v>x</v>
      </c>
    </row>
    <row r="32" spans="1:16" ht="14" customHeight="1" x14ac:dyDescent="0.2">
      <c r="A32" s="1195"/>
      <c r="B32" s="2" t="s">
        <v>223</v>
      </c>
      <c r="D32" s="1658">
        <v>5</v>
      </c>
      <c r="E32" s="1466" t="str">
        <f t="shared" si="3"/>
        <v>x</v>
      </c>
    </row>
    <row r="33" spans="1:18" ht="14" customHeight="1" x14ac:dyDescent="0.2">
      <c r="A33" s="1195"/>
      <c r="B33" s="2"/>
      <c r="D33" s="1658"/>
    </row>
    <row r="34" spans="1:18" ht="14" customHeight="1" x14ac:dyDescent="0.2">
      <c r="A34" s="1195" t="str">
        <f>BIBLE!E25</f>
        <v>B05</v>
      </c>
      <c r="B34" s="291" t="str">
        <f>BIBLE!F25</f>
        <v>Combien d'enfants compte la fratrie ?</v>
      </c>
      <c r="D34" s="1658"/>
      <c r="P34" s="1460">
        <f>'TEST_pour PROTOTYPE'!D9</f>
        <v>2</v>
      </c>
    </row>
    <row r="35" spans="1:18" ht="14" customHeight="1" x14ac:dyDescent="0.2">
      <c r="A35" s="1195"/>
      <c r="B35" s="2" t="s">
        <v>786</v>
      </c>
      <c r="D35" s="1658">
        <v>1</v>
      </c>
      <c r="E35" s="1466" t="str">
        <f>IF(P$34=D35,1,"x")</f>
        <v>x</v>
      </c>
    </row>
    <row r="36" spans="1:18" ht="14" customHeight="1" x14ac:dyDescent="0.2">
      <c r="A36" s="1195"/>
      <c r="B36" s="2" t="s">
        <v>787</v>
      </c>
      <c r="D36" s="1658">
        <v>2</v>
      </c>
      <c r="E36" s="1466">
        <f t="shared" ref="E36:E38" si="4">IF(P$34=D36,1,"x")</f>
        <v>1</v>
      </c>
    </row>
    <row r="37" spans="1:18" ht="14" customHeight="1" x14ac:dyDescent="0.2">
      <c r="A37" s="1195"/>
      <c r="B37" s="2" t="s">
        <v>788</v>
      </c>
      <c r="D37" s="1658">
        <v>3</v>
      </c>
      <c r="E37" s="1466" t="str">
        <f t="shared" si="4"/>
        <v>x</v>
      </c>
    </row>
    <row r="38" spans="1:18" ht="14" customHeight="1" x14ac:dyDescent="0.2">
      <c r="A38" s="1195"/>
      <c r="B38" s="2" t="s">
        <v>789</v>
      </c>
      <c r="D38" s="1658">
        <v>4</v>
      </c>
      <c r="E38" s="1466" t="str">
        <f t="shared" si="4"/>
        <v>x</v>
      </c>
    </row>
    <row r="39" spans="1:18" ht="14" customHeight="1" thickBot="1" x14ac:dyDescent="0.25">
      <c r="A39" s="1195"/>
      <c r="B39" s="2"/>
      <c r="D39" s="1658"/>
    </row>
    <row r="40" spans="1:18" ht="17" thickBot="1" x14ac:dyDescent="0.25">
      <c r="A40" s="1195" t="str">
        <f>BIBLE!E26</f>
        <v>B06</v>
      </c>
      <c r="B40" t="str">
        <f>BIBLE!F26</f>
        <v>Quel âge a l'enfant qui fait l'objet de l'analyse ?</v>
      </c>
      <c r="D40" s="1658"/>
      <c r="E40" s="30">
        <f>P$40</f>
        <v>9</v>
      </c>
      <c r="P40" s="1460">
        <f>'TEST_pour PROTOTYPE'!D10</f>
        <v>9</v>
      </c>
    </row>
    <row r="41" spans="1:18" ht="15" customHeight="1" x14ac:dyDescent="0.2">
      <c r="A41" s="1195"/>
      <c r="D41" s="1658"/>
    </row>
    <row r="42" spans="1:18" x14ac:dyDescent="0.2">
      <c r="A42" s="1195" t="str">
        <f>BIBLE!E27</f>
        <v>B07</v>
      </c>
      <c r="B42" t="str">
        <f>BIBLE!F27</f>
        <v xml:space="preserve">Quelle est votre situation familiale actuelle ? </v>
      </c>
      <c r="D42" s="1658"/>
      <c r="P42" s="1460">
        <f>'TEST_pour PROTOTYPE'!D11</f>
        <v>1</v>
      </c>
    </row>
    <row r="43" spans="1:18" ht="15" customHeight="1" x14ac:dyDescent="0.2">
      <c r="A43" s="1195"/>
      <c r="B43" s="2" t="s">
        <v>224</v>
      </c>
      <c r="D43" s="1658">
        <v>1</v>
      </c>
      <c r="E43" s="1466">
        <f>IF(P$42=D43,1,"x")</f>
        <v>1</v>
      </c>
    </row>
    <row r="44" spans="1:18" ht="15" customHeight="1" x14ac:dyDescent="0.2">
      <c r="A44" s="1195"/>
      <c r="B44" s="2" t="s">
        <v>1266</v>
      </c>
      <c r="D44" s="1658">
        <v>2</v>
      </c>
      <c r="E44" s="1466" t="str">
        <f t="shared" ref="E44:E45" si="5">IF(P$42=D44,1,"x")</f>
        <v>x</v>
      </c>
    </row>
    <row r="45" spans="1:18" ht="15" customHeight="1" x14ac:dyDescent="0.2">
      <c r="A45" s="1195"/>
      <c r="B45" s="2" t="s">
        <v>1267</v>
      </c>
      <c r="D45" s="1658">
        <v>3</v>
      </c>
      <c r="E45" s="1466" t="str">
        <f t="shared" si="5"/>
        <v>x</v>
      </c>
      <c r="F45" s="465"/>
      <c r="G45" s="465"/>
      <c r="H45" s="465"/>
      <c r="I45" s="465"/>
      <c r="J45" s="465"/>
      <c r="K45" s="465"/>
      <c r="L45" s="465"/>
      <c r="M45" s="465"/>
      <c r="N45" s="465"/>
      <c r="O45" s="465"/>
      <c r="P45" s="465"/>
      <c r="Q45" s="465"/>
      <c r="R45" s="465"/>
    </row>
    <row r="46" spans="1:18" x14ac:dyDescent="0.2">
      <c r="A46" s="1195" t="str">
        <f>BIBLE!E28</f>
        <v>B08</v>
      </c>
      <c r="B46" t="str">
        <f>BIBLE!F28</f>
        <v xml:space="preserve">Quelle est la situation familiale actuelle de l'autre parent (coparent) ?
</v>
      </c>
      <c r="D46" s="1658"/>
      <c r="P46" s="1460">
        <f>'TEST_pour PROTOTYPE'!D12</f>
        <v>3</v>
      </c>
    </row>
    <row r="47" spans="1:18" ht="16" customHeight="1" x14ac:dyDescent="0.2">
      <c r="A47" s="1195"/>
      <c r="B47" s="2" t="s">
        <v>224</v>
      </c>
      <c r="D47" s="1658">
        <v>1</v>
      </c>
      <c r="E47" s="1466" t="str">
        <f>IF(P$46=D47,1,"x")</f>
        <v>x</v>
      </c>
    </row>
    <row r="48" spans="1:18" ht="14" customHeight="1" x14ac:dyDescent="0.2">
      <c r="A48" s="1195"/>
      <c r="B48" s="2" t="s">
        <v>1266</v>
      </c>
      <c r="D48" s="1658">
        <v>2</v>
      </c>
      <c r="E48" s="1466" t="str">
        <f>IF(P$46=D48,1,"x")</f>
        <v>x</v>
      </c>
    </row>
    <row r="49" spans="1:29" ht="14" customHeight="1" x14ac:dyDescent="0.2">
      <c r="A49" s="1195"/>
      <c r="B49" s="2" t="s">
        <v>1267</v>
      </c>
      <c r="D49" s="1658">
        <v>3</v>
      </c>
      <c r="E49" s="1466">
        <f t="shared" ref="E49" si="6">IF(P$46=D49,1,"x")</f>
        <v>1</v>
      </c>
    </row>
    <row r="50" spans="1:29" ht="18" customHeight="1" x14ac:dyDescent="0.2">
      <c r="A50" s="1195"/>
      <c r="C50" s="255" t="s">
        <v>225</v>
      </c>
      <c r="D50" s="264" t="s">
        <v>22</v>
      </c>
      <c r="E50" s="2512" t="s">
        <v>226</v>
      </c>
      <c r="F50" s="2512"/>
      <c r="G50" s="2512"/>
      <c r="H50" s="2512"/>
      <c r="I50" s="2512"/>
      <c r="J50" s="2512"/>
      <c r="K50" s="2512"/>
      <c r="L50" s="2512"/>
      <c r="M50" s="2512"/>
      <c r="N50" s="2512"/>
      <c r="O50" s="2512"/>
    </row>
    <row r="51" spans="1:29" ht="18" customHeight="1" x14ac:dyDescent="0.2">
      <c r="A51" s="1195"/>
      <c r="C51" s="255"/>
      <c r="D51" s="264"/>
      <c r="E51" s="470" t="s">
        <v>361</v>
      </c>
      <c r="F51" s="290"/>
      <c r="G51" s="290"/>
      <c r="H51" s="290"/>
      <c r="I51" s="290"/>
      <c r="J51" s="290"/>
      <c r="K51" s="290"/>
      <c r="L51" s="290"/>
      <c r="M51" s="290"/>
      <c r="N51" s="290"/>
      <c r="O51" s="290"/>
    </row>
    <row r="52" spans="1:29" s="7" customFormat="1" ht="33" customHeight="1" thickBot="1" x14ac:dyDescent="0.25">
      <c r="A52" s="1195"/>
      <c r="C52" s="256"/>
      <c r="D52" s="265"/>
      <c r="E52" s="59">
        <v>0</v>
      </c>
      <c r="F52" s="59">
        <v>0</v>
      </c>
      <c r="G52" s="59">
        <v>1</v>
      </c>
      <c r="H52" s="59">
        <v>2</v>
      </c>
      <c r="I52" s="59">
        <v>4</v>
      </c>
      <c r="J52" s="59">
        <v>7</v>
      </c>
      <c r="K52" s="59">
        <v>10</v>
      </c>
      <c r="L52" s="1437">
        <v>7</v>
      </c>
      <c r="M52" s="1437">
        <v>8</v>
      </c>
      <c r="N52" s="1437">
        <v>9</v>
      </c>
      <c r="O52" s="1437">
        <v>10</v>
      </c>
      <c r="P52" s="60" t="s">
        <v>227</v>
      </c>
      <c r="Q52" s="60" t="s">
        <v>228</v>
      </c>
      <c r="R52" s="60" t="s">
        <v>229</v>
      </c>
      <c r="S52" s="132"/>
      <c r="U52" s="132"/>
      <c r="V52" s="132"/>
      <c r="W52" s="132"/>
      <c r="X52" s="8"/>
      <c r="Y52" s="8"/>
      <c r="Z52" s="8"/>
      <c r="AA52" s="8"/>
      <c r="AB52" s="8"/>
      <c r="AC52" s="8"/>
    </row>
    <row r="53" spans="1:29" s="7" customFormat="1" ht="46" customHeight="1" thickTop="1" x14ac:dyDescent="0.2">
      <c r="A53" s="1196" t="str">
        <f>BIBLE!E29</f>
        <v>B11</v>
      </c>
      <c r="B53" s="25" t="str">
        <f>BIBLE!F29</f>
        <v>Dans quelle mesure l'entente de garde et/ou les droits d'accès sont-ils respectés ?</v>
      </c>
      <c r="C53" s="1436" t="str">
        <f>BIBLE!O29</f>
        <v>En tout temps / Presque toujours / Régulièrement / Parfois / Rarement / Jamais / S.O.</v>
      </c>
      <c r="D53" s="267">
        <f>BIBLE!L29</f>
        <v>3</v>
      </c>
      <c r="E53" s="19"/>
      <c r="F53" s="19"/>
      <c r="G53" s="19"/>
      <c r="H53" s="19"/>
      <c r="I53" s="19"/>
      <c r="J53" s="19">
        <v>1</v>
      </c>
      <c r="K53" s="19"/>
      <c r="L53" s="19"/>
      <c r="M53" s="19"/>
      <c r="N53" s="19"/>
      <c r="O53" s="19"/>
      <c r="P53" s="1561">
        <f>'TEST_pour PROTOTYPE'!D13</f>
        <v>2</v>
      </c>
      <c r="Q53" s="6">
        <f>P53*D53</f>
        <v>6</v>
      </c>
      <c r="R53" s="8">
        <f>BIBLE!K29</f>
        <v>4</v>
      </c>
      <c r="T53" s="504" t="s">
        <v>24</v>
      </c>
      <c r="U53" s="7" t="s">
        <v>421</v>
      </c>
      <c r="V53" s="8"/>
      <c r="X53" s="8"/>
      <c r="Y53" s="8"/>
      <c r="Z53" s="8"/>
      <c r="AA53" s="8"/>
      <c r="AB53" s="8"/>
      <c r="AC53" s="8"/>
    </row>
    <row r="54" spans="1:29" s="7" customFormat="1" ht="23" customHeight="1" x14ac:dyDescent="0.2">
      <c r="A54" s="1195" t="str">
        <f>BIBLE!E30</f>
        <v>B11a</v>
      </c>
      <c r="B54" s="1513" t="str">
        <f>IF(P53&gt;=$R$53,BIBLE!F30," ")</f>
        <v xml:space="preserve"> </v>
      </c>
      <c r="C54" s="257" t="s">
        <v>230</v>
      </c>
      <c r="D54" s="1657">
        <v>1</v>
      </c>
      <c r="E54" s="1466" t="str">
        <f>IF(P$54=D54,1,"x")</f>
        <v>x</v>
      </c>
      <c r="F54" s="19"/>
      <c r="G54" s="19"/>
      <c r="H54" s="19"/>
      <c r="I54" s="19"/>
      <c r="J54" s="19"/>
      <c r="K54" s="19"/>
      <c r="L54" s="19"/>
      <c r="M54" s="19"/>
      <c r="N54" s="19"/>
      <c r="O54" s="19"/>
      <c r="P54" s="1564">
        <f>'TEST_pour PROTOTYPE'!D14</f>
        <v>0</v>
      </c>
      <c r="Q54" s="130"/>
      <c r="V54" s="8"/>
      <c r="X54" s="8"/>
      <c r="Y54" s="8"/>
      <c r="Z54" s="8"/>
      <c r="AA54" s="8"/>
      <c r="AB54" s="8"/>
      <c r="AC54" s="8"/>
    </row>
    <row r="55" spans="1:29" s="7" customFormat="1" ht="19.5" customHeight="1" outlineLevel="1" x14ac:dyDescent="0.2">
      <c r="A55" s="1195"/>
      <c r="B55" s="131"/>
      <c r="C55" s="257" t="s">
        <v>231</v>
      </c>
      <c r="D55" s="1657">
        <v>0</v>
      </c>
      <c r="E55" s="1466">
        <f>IF(P$54=D55,1,"x")</f>
        <v>1</v>
      </c>
      <c r="F55" s="19"/>
      <c r="G55" s="19"/>
      <c r="H55" s="19"/>
      <c r="I55" s="19"/>
      <c r="J55" s="19"/>
      <c r="K55" s="19"/>
      <c r="L55" s="19"/>
      <c r="M55" s="19"/>
      <c r="N55" s="19"/>
      <c r="O55" s="19"/>
      <c r="P55" s="129"/>
      <c r="Q55" s="130"/>
      <c r="V55" s="8"/>
      <c r="X55" s="8"/>
      <c r="Y55" s="8"/>
      <c r="Z55" s="8"/>
      <c r="AA55" s="8"/>
      <c r="AB55" s="8"/>
      <c r="AC55" s="8"/>
    </row>
    <row r="56" spans="1:29" s="7" customFormat="1" ht="43" customHeight="1" x14ac:dyDescent="0.2">
      <c r="A56" s="1195" t="str">
        <f>BIBLE!E31</f>
        <v>B11a1</v>
      </c>
      <c r="B56" s="103" t="str">
        <f>IF(P54=1,BIBLE!F31," ")</f>
        <v xml:space="preserve"> </v>
      </c>
      <c r="C56" s="268" t="str">
        <f>IF(BIBLE!H31=0,"",BIBLE!H31)</f>
        <v/>
      </c>
      <c r="D56" s="1657">
        <f>BIBLE!L31</f>
        <v>2</v>
      </c>
      <c r="E56" s="19"/>
      <c r="F56" s="19"/>
      <c r="G56" s="19">
        <v>1</v>
      </c>
      <c r="H56" s="19"/>
      <c r="I56" s="19"/>
      <c r="J56" s="19"/>
      <c r="K56" s="19"/>
      <c r="L56" s="19"/>
      <c r="M56" s="19"/>
      <c r="N56" s="19"/>
      <c r="O56" s="19"/>
      <c r="P56" s="1561">
        <f>'TEST_pour PROTOTYPE'!D15</f>
        <v>0</v>
      </c>
      <c r="Q56" s="24">
        <f>P56*D56</f>
        <v>0</v>
      </c>
      <c r="R56" s="1270"/>
      <c r="S56" s="1270"/>
      <c r="T56" s="1270"/>
      <c r="U56" s="1270"/>
      <c r="V56" s="1271"/>
      <c r="W56" s="1270"/>
      <c r="X56" s="1271"/>
      <c r="Y56" s="8"/>
      <c r="Z56" s="8"/>
      <c r="AA56" s="8"/>
      <c r="AB56" s="8"/>
      <c r="AC56" s="8"/>
    </row>
    <row r="57" spans="1:29" s="7" customFormat="1" ht="43" customHeight="1" x14ac:dyDescent="0.2">
      <c r="A57" s="1195" t="str">
        <f>BIBLE!E32</f>
        <v>B11b</v>
      </c>
      <c r="B57" s="1513" t="str">
        <f>IF(P53&gt;=$R$53,BIBLE!F32," ")</f>
        <v xml:space="preserve"> </v>
      </c>
      <c r="C57" s="268" t="str">
        <f>IF(BIBLE!H32=0,"",BIBLE!H32)</f>
        <v/>
      </c>
      <c r="D57" s="1657">
        <f>BIBLE!L32</f>
        <v>2</v>
      </c>
      <c r="E57" s="19"/>
      <c r="F57" s="19"/>
      <c r="G57" s="19"/>
      <c r="H57" s="19">
        <v>2</v>
      </c>
      <c r="I57" s="19"/>
      <c r="J57" s="19"/>
      <c r="K57" s="19"/>
      <c r="L57" s="19"/>
      <c r="M57" s="19"/>
      <c r="N57" s="19"/>
      <c r="O57" s="19"/>
      <c r="P57" s="1561">
        <f>'TEST_pour PROTOTYPE'!D16</f>
        <v>0</v>
      </c>
      <c r="Q57" s="24">
        <f>P57*D57</f>
        <v>0</v>
      </c>
      <c r="R57" s="1270"/>
      <c r="S57" s="1270"/>
      <c r="T57" s="1270"/>
      <c r="U57" s="1270"/>
      <c r="V57" s="1271"/>
      <c r="W57" s="1270"/>
      <c r="X57" s="1271"/>
      <c r="Y57" s="8"/>
      <c r="Z57" s="8"/>
      <c r="AA57" s="8"/>
      <c r="AB57" s="8"/>
      <c r="AC57" s="8"/>
    </row>
    <row r="58" spans="1:29" ht="31" customHeight="1" x14ac:dyDescent="0.2">
      <c r="A58" s="1195" t="str">
        <f>BIBLE!E33</f>
        <v>B12</v>
      </c>
      <c r="B58" s="131" t="str">
        <f>BIBLE!F33</f>
        <v xml:space="preserve">Comment qualifieriez-vous votre relation avec votre enfant ? 
</v>
      </c>
      <c r="C58" s="257"/>
      <c r="D58" s="1657"/>
      <c r="T58" s="504" t="s">
        <v>24</v>
      </c>
      <c r="U58" s="7" t="s">
        <v>416</v>
      </c>
    </row>
    <row r="59" spans="1:29" x14ac:dyDescent="0.2">
      <c r="A59" s="1195" t="str">
        <f>A58</f>
        <v>B12</v>
      </c>
      <c r="C59" s="1478"/>
      <c r="D59" s="1459"/>
      <c r="E59" s="1"/>
      <c r="O59" t="s">
        <v>1059</v>
      </c>
      <c r="P59" s="1461">
        <f>MAX(P60:P65)</f>
        <v>4</v>
      </c>
      <c r="U59" s="7"/>
    </row>
    <row r="60" spans="1:29" ht="17" customHeight="1" x14ac:dyDescent="0.2">
      <c r="A60" s="1195" t="str">
        <f t="shared" ref="A60:A65" si="7">A59</f>
        <v>B12</v>
      </c>
      <c r="B60" s="1479"/>
      <c r="C60" s="1480" t="s">
        <v>1141</v>
      </c>
      <c r="D60" s="1459">
        <v>1</v>
      </c>
      <c r="E60" s="1477">
        <f>'TEST_pour PROTOTYPE'!D17</f>
        <v>1</v>
      </c>
      <c r="P60" s="1476">
        <f>D60*E60</f>
        <v>1</v>
      </c>
      <c r="U60" s="7"/>
    </row>
    <row r="61" spans="1:29" ht="17" customHeight="1" x14ac:dyDescent="0.2">
      <c r="A61" s="1195" t="str">
        <f t="shared" si="7"/>
        <v>B12</v>
      </c>
      <c r="C61" s="1480" t="s">
        <v>1142</v>
      </c>
      <c r="D61" s="1459">
        <v>2</v>
      </c>
      <c r="E61" s="1477">
        <f>'TEST_pour PROTOTYPE'!D18</f>
        <v>0</v>
      </c>
      <c r="F61" s="19"/>
      <c r="G61" s="19"/>
      <c r="H61" s="19"/>
      <c r="I61" s="19"/>
      <c r="J61" s="19"/>
      <c r="K61" s="19"/>
      <c r="L61" s="19"/>
      <c r="M61" s="19"/>
      <c r="N61" s="19"/>
      <c r="O61" s="19"/>
      <c r="P61" s="1476">
        <f t="shared" ref="P61:P65" si="8">D61*E61</f>
        <v>0</v>
      </c>
      <c r="Q61" s="6"/>
      <c r="U61" s="7"/>
    </row>
    <row r="62" spans="1:29" ht="17" customHeight="1" x14ac:dyDescent="0.2">
      <c r="A62" s="1195" t="str">
        <f t="shared" si="7"/>
        <v>B12</v>
      </c>
      <c r="C62" s="1480" t="s">
        <v>1143</v>
      </c>
      <c r="D62" s="1459">
        <v>3</v>
      </c>
      <c r="E62" s="1477">
        <f>'TEST_pour PROTOTYPE'!D19</f>
        <v>0</v>
      </c>
      <c r="F62" s="8"/>
      <c r="G62" s="8"/>
      <c r="H62" s="8"/>
      <c r="I62" s="8"/>
      <c r="J62" s="8"/>
      <c r="K62" s="8"/>
      <c r="L62" s="8"/>
      <c r="M62" s="8"/>
      <c r="N62" s="8"/>
      <c r="O62" s="8"/>
      <c r="P62" s="1476">
        <f t="shared" si="8"/>
        <v>0</v>
      </c>
      <c r="Q62" s="6"/>
      <c r="U62" s="7"/>
    </row>
    <row r="63" spans="1:29" ht="17" customHeight="1" x14ac:dyDescent="0.2">
      <c r="A63" s="1195" t="str">
        <f t="shared" si="7"/>
        <v>B12</v>
      </c>
      <c r="B63" s="1480"/>
      <c r="C63" s="1480" t="s">
        <v>1286</v>
      </c>
      <c r="D63" s="1459">
        <v>4</v>
      </c>
      <c r="E63" s="1477">
        <f>'TEST_pour PROTOTYPE'!D20</f>
        <v>1</v>
      </c>
      <c r="F63" s="8"/>
      <c r="G63" s="8"/>
      <c r="H63" s="8"/>
      <c r="I63" s="8"/>
      <c r="J63" s="8"/>
      <c r="K63" s="8"/>
      <c r="L63" s="8"/>
      <c r="M63" s="8"/>
      <c r="N63" s="8"/>
      <c r="O63" s="8"/>
      <c r="P63" s="1476">
        <f t="shared" si="8"/>
        <v>4</v>
      </c>
      <c r="Q63" s="6"/>
      <c r="U63" s="7"/>
    </row>
    <row r="64" spans="1:29" ht="17" customHeight="1" x14ac:dyDescent="0.2">
      <c r="A64" s="1195" t="str">
        <f t="shared" si="7"/>
        <v>B12</v>
      </c>
      <c r="C64" s="1480" t="s">
        <v>1152</v>
      </c>
      <c r="D64" s="1459">
        <v>5</v>
      </c>
      <c r="E64" s="1477">
        <f>'TEST_pour PROTOTYPE'!D21</f>
        <v>0</v>
      </c>
      <c r="G64" s="8"/>
      <c r="H64" s="8"/>
      <c r="P64" s="1476">
        <f t="shared" si="8"/>
        <v>0</v>
      </c>
      <c r="T64" s="504" t="s">
        <v>24</v>
      </c>
      <c r="U64" s="7" t="s">
        <v>416</v>
      </c>
    </row>
    <row r="65" spans="1:21" ht="17" customHeight="1" x14ac:dyDescent="0.2">
      <c r="A65" s="1195" t="str">
        <f t="shared" si="7"/>
        <v>B12</v>
      </c>
      <c r="C65" s="1480" t="s">
        <v>1144</v>
      </c>
      <c r="D65" s="1459">
        <v>6</v>
      </c>
      <c r="E65" s="1477">
        <f>'TEST_pour PROTOTYPE'!D22</f>
        <v>0</v>
      </c>
      <c r="F65" s="1464"/>
      <c r="G65" s="8"/>
      <c r="H65" s="8"/>
      <c r="P65" s="1476">
        <f t="shared" si="8"/>
        <v>0</v>
      </c>
      <c r="T65" s="504"/>
    </row>
    <row r="66" spans="1:21" ht="17" customHeight="1" x14ac:dyDescent="0.2">
      <c r="A66" s="1195"/>
      <c r="C66" s="1480"/>
      <c r="D66" s="1459"/>
      <c r="E66" s="8"/>
      <c r="F66" s="808"/>
      <c r="G66" s="8"/>
      <c r="H66" s="8"/>
      <c r="I66" s="8"/>
      <c r="J66" s="8"/>
      <c r="K66" s="8"/>
      <c r="L66" s="8"/>
      <c r="M66" s="8"/>
      <c r="N66" s="8"/>
    </row>
    <row r="67" spans="1:21" ht="17" customHeight="1" x14ac:dyDescent="0.2">
      <c r="A67" s="1195"/>
      <c r="C67" s="1480"/>
      <c r="D67" s="1459"/>
      <c r="E67" s="8"/>
      <c r="F67" s="1465"/>
      <c r="G67" s="8"/>
      <c r="H67" s="15"/>
    </row>
    <row r="68" spans="1:21" ht="17" customHeight="1" x14ac:dyDescent="0.2">
      <c r="A68" s="1195" t="str">
        <f>BIBLE!E34</f>
        <v>B12a</v>
      </c>
      <c r="B68" s="1675" t="str">
        <f>IF(P59&gt;=3,BIBLE!F34," ")</f>
        <v>Quels types de difficultés relationnelles rencontrez-vous ?</v>
      </c>
      <c r="C68" s="1480"/>
      <c r="D68" s="1459"/>
      <c r="E68" s="8"/>
      <c r="F68" s="8"/>
      <c r="G68" s="8"/>
      <c r="H68" s="15"/>
      <c r="M68" s="8"/>
      <c r="N68" s="8"/>
      <c r="O68" t="s">
        <v>1059</v>
      </c>
      <c r="P68" s="1461">
        <f>MAX(P69:P75)</f>
        <v>4</v>
      </c>
      <c r="Q68" s="6"/>
    </row>
    <row r="69" spans="1:21" ht="17" customHeight="1" x14ac:dyDescent="0.2">
      <c r="A69" s="1195" t="str">
        <f>A68</f>
        <v>B12a</v>
      </c>
      <c r="C69" s="1652" t="s">
        <v>1145</v>
      </c>
      <c r="D69" s="1459">
        <v>1</v>
      </c>
      <c r="E69" s="1477">
        <f>'TEST_pour PROTOTYPE'!D23</f>
        <v>0</v>
      </c>
      <c r="F69" s="8"/>
      <c r="G69" s="8"/>
      <c r="H69" s="15"/>
      <c r="M69" s="8"/>
      <c r="N69" s="8"/>
      <c r="O69" s="8"/>
      <c r="P69" s="1476">
        <f>D69*E69</f>
        <v>0</v>
      </c>
      <c r="Q69" s="6"/>
    </row>
    <row r="70" spans="1:21" ht="17" customHeight="1" x14ac:dyDescent="0.2">
      <c r="A70" s="1195" t="str">
        <f t="shared" ref="A70:A75" si="9">A69</f>
        <v>B12a</v>
      </c>
      <c r="C70" s="1652" t="s">
        <v>1146</v>
      </c>
      <c r="D70" s="1459">
        <v>2</v>
      </c>
      <c r="E70" s="1477">
        <f>'TEST_pour PROTOTYPE'!D24</f>
        <v>0</v>
      </c>
      <c r="F70" s="8"/>
      <c r="G70" s="8"/>
      <c r="H70" s="15"/>
      <c r="M70" s="8"/>
      <c r="N70" s="8"/>
      <c r="O70" s="8"/>
      <c r="P70" s="1476">
        <f t="shared" ref="P70:P74" si="10">D70*E70</f>
        <v>0</v>
      </c>
      <c r="Q70" s="6"/>
    </row>
    <row r="71" spans="1:21" ht="17" customHeight="1" x14ac:dyDescent="0.2">
      <c r="A71" s="1195" t="str">
        <f t="shared" si="9"/>
        <v>B12a</v>
      </c>
      <c r="C71" s="1652" t="s">
        <v>1147</v>
      </c>
      <c r="D71" s="1459">
        <v>3</v>
      </c>
      <c r="E71" s="1477">
        <f>'TEST_pour PROTOTYPE'!D25</f>
        <v>1</v>
      </c>
      <c r="F71" s="8"/>
      <c r="G71" s="8"/>
      <c r="H71" s="15"/>
      <c r="M71" s="8"/>
      <c r="N71" s="8"/>
      <c r="O71" s="8"/>
      <c r="P71" s="1476">
        <f t="shared" si="10"/>
        <v>3</v>
      </c>
      <c r="Q71" s="6"/>
    </row>
    <row r="72" spans="1:21" ht="17" customHeight="1" x14ac:dyDescent="0.2">
      <c r="A72" s="1195" t="str">
        <f t="shared" si="9"/>
        <v>B12a</v>
      </c>
      <c r="C72" s="1652" t="s">
        <v>1476</v>
      </c>
      <c r="D72" s="1459">
        <v>4</v>
      </c>
      <c r="E72" s="1477">
        <f>'TEST_pour PROTOTYPE'!D26</f>
        <v>1</v>
      </c>
      <c r="F72" s="8"/>
      <c r="G72" s="8"/>
      <c r="H72" s="15"/>
      <c r="M72" s="8"/>
      <c r="N72" s="8"/>
      <c r="O72" s="8"/>
      <c r="P72" s="1476">
        <f t="shared" si="10"/>
        <v>4</v>
      </c>
      <c r="Q72" s="6"/>
    </row>
    <row r="73" spans="1:21" ht="17" customHeight="1" x14ac:dyDescent="0.2">
      <c r="A73" s="1195" t="str">
        <f t="shared" si="9"/>
        <v>B12a</v>
      </c>
      <c r="B73" s="2"/>
      <c r="C73" s="1652" t="s">
        <v>1477</v>
      </c>
      <c r="D73" s="1459">
        <v>5</v>
      </c>
      <c r="E73" s="1477">
        <f>'TEST_pour PROTOTYPE'!D27</f>
        <v>0</v>
      </c>
      <c r="F73" s="8"/>
      <c r="G73" s="8"/>
      <c r="H73" s="15"/>
      <c r="M73" s="8"/>
      <c r="N73" s="8"/>
      <c r="O73" s="8"/>
      <c r="P73" s="1476">
        <f t="shared" si="10"/>
        <v>0</v>
      </c>
      <c r="Q73" s="6"/>
      <c r="T73" s="504"/>
      <c r="U73" t="s">
        <v>1149</v>
      </c>
    </row>
    <row r="74" spans="1:21" ht="17" customHeight="1" x14ac:dyDescent="0.2">
      <c r="A74" s="1195" t="str">
        <f t="shared" si="9"/>
        <v>B12a</v>
      </c>
      <c r="C74" s="1652" t="s">
        <v>1148</v>
      </c>
      <c r="D74" s="1459">
        <v>6</v>
      </c>
      <c r="E74" s="1477">
        <f>'TEST_pour PROTOTYPE'!D28</f>
        <v>0</v>
      </c>
      <c r="F74" s="8"/>
      <c r="G74" s="8"/>
      <c r="H74" s="8"/>
      <c r="I74" s="8"/>
      <c r="J74" s="8"/>
      <c r="K74" s="8"/>
      <c r="L74" s="8"/>
      <c r="M74" s="8"/>
      <c r="N74" s="8"/>
      <c r="O74" s="8"/>
      <c r="P74" s="1476">
        <f t="shared" si="10"/>
        <v>0</v>
      </c>
      <c r="Q74" s="6"/>
    </row>
    <row r="75" spans="1:21" ht="17" customHeight="1" x14ac:dyDescent="0.2">
      <c r="A75" s="1195" t="str">
        <f t="shared" si="9"/>
        <v>B12a</v>
      </c>
      <c r="C75" s="1481" t="s">
        <v>1155</v>
      </c>
      <c r="D75" s="1459">
        <v>0</v>
      </c>
      <c r="E75" s="1477"/>
      <c r="F75" s="8"/>
      <c r="G75" s="8"/>
      <c r="H75" s="8"/>
      <c r="I75" s="8"/>
      <c r="J75" s="8"/>
      <c r="K75" s="8"/>
      <c r="L75" s="8"/>
      <c r="M75" s="8"/>
      <c r="N75" s="8"/>
      <c r="O75" s="8"/>
      <c r="P75" s="1476"/>
      <c r="Q75" s="6"/>
    </row>
    <row r="76" spans="1:21" ht="17" customHeight="1" x14ac:dyDescent="0.2">
      <c r="A76" s="1195"/>
      <c r="C76" s="1480"/>
      <c r="D76" s="1655"/>
      <c r="E76" s="8"/>
      <c r="F76" s="1465"/>
      <c r="G76" s="8"/>
      <c r="H76" s="15"/>
    </row>
    <row r="77" spans="1:21" ht="17" customHeight="1" x14ac:dyDescent="0.2">
      <c r="A77" s="1195" t="str">
        <f>BIBLE!E35</f>
        <v>B12b</v>
      </c>
      <c r="B77" s="1675" t="str">
        <f>IF(P59&gt;=3,BIBLE!F35," ")</f>
        <v xml:space="preserve">Ces difficultés relationnelles sont-elles récentes ? </v>
      </c>
      <c r="C77" s="1423"/>
      <c r="D77" s="1655"/>
      <c r="E77" s="8"/>
      <c r="F77" s="1465"/>
      <c r="G77" s="8"/>
      <c r="H77" s="15"/>
      <c r="P77" s="1460">
        <f>'TEST_pour PROTOTYPE'!D29</f>
        <v>1</v>
      </c>
    </row>
    <row r="78" spans="1:21" ht="17" customHeight="1" x14ac:dyDescent="0.2">
      <c r="A78" s="1195"/>
      <c r="B78" s="2"/>
      <c r="C78" s="1423" t="s">
        <v>481</v>
      </c>
      <c r="D78" s="1655">
        <v>1</v>
      </c>
      <c r="E78" s="1466">
        <f>IF(P$77=D78,1,"x")</f>
        <v>1</v>
      </c>
      <c r="F78" s="1465"/>
      <c r="G78" s="8"/>
      <c r="H78" s="15"/>
    </row>
    <row r="79" spans="1:21" ht="17" customHeight="1" x14ac:dyDescent="0.2">
      <c r="A79" s="1195"/>
      <c r="B79" s="2"/>
      <c r="C79" s="1423" t="s">
        <v>482</v>
      </c>
      <c r="D79" s="1655">
        <v>2</v>
      </c>
      <c r="E79" s="1466" t="str">
        <f t="shared" ref="E79:E82" si="11">IF(P$77=D79,1,"x")</f>
        <v>x</v>
      </c>
      <c r="F79" s="1465"/>
      <c r="G79" s="8"/>
      <c r="H79" s="15"/>
    </row>
    <row r="80" spans="1:21" ht="17" customHeight="1" x14ac:dyDescent="0.2">
      <c r="A80" s="1195"/>
      <c r="B80" s="2"/>
      <c r="C80" s="1423" t="s">
        <v>232</v>
      </c>
      <c r="D80" s="1655">
        <v>3</v>
      </c>
      <c r="E80" s="1466" t="str">
        <f t="shared" si="11"/>
        <v>x</v>
      </c>
      <c r="F80" s="1465"/>
      <c r="G80" s="8"/>
      <c r="H80" s="15"/>
    </row>
    <row r="81" spans="1:44" ht="17" customHeight="1" x14ac:dyDescent="0.2">
      <c r="A81" s="1195"/>
      <c r="B81" s="2"/>
      <c r="C81" s="1423" t="s">
        <v>233</v>
      </c>
      <c r="D81" s="1655">
        <v>4</v>
      </c>
      <c r="E81" s="1466" t="str">
        <f t="shared" si="11"/>
        <v>x</v>
      </c>
      <c r="F81" s="1465"/>
      <c r="G81" s="8"/>
      <c r="H81" s="15"/>
    </row>
    <row r="82" spans="1:44" ht="17" customHeight="1" x14ac:dyDescent="0.2">
      <c r="A82" s="1195"/>
      <c r="B82" s="2"/>
      <c r="C82" s="1423" t="s">
        <v>234</v>
      </c>
      <c r="D82" s="1655">
        <v>5</v>
      </c>
      <c r="E82" s="1466" t="str">
        <f t="shared" si="11"/>
        <v>x</v>
      </c>
      <c r="F82" s="1465"/>
      <c r="G82" s="8"/>
      <c r="H82" s="15"/>
    </row>
    <row r="83" spans="1:44" ht="17" customHeight="1" x14ac:dyDescent="0.2">
      <c r="A83" s="1195"/>
      <c r="C83" s="1480"/>
      <c r="D83" s="1655"/>
      <c r="E83" s="8"/>
      <c r="F83" s="1465"/>
      <c r="G83" s="8"/>
      <c r="H83" s="15"/>
    </row>
    <row r="84" spans="1:44" ht="17" customHeight="1" x14ac:dyDescent="0.2">
      <c r="A84" s="1195" t="str">
        <f>BIBLE!E36</f>
        <v>B12c</v>
      </c>
      <c r="B84" s="1675" t="str">
        <f>IF(P59&gt;=5,BIBLE!F36," ")</f>
        <v xml:space="preserve"> </v>
      </c>
      <c r="C84" s="1482" t="s">
        <v>230</v>
      </c>
      <c r="D84" s="1655">
        <v>1</v>
      </c>
      <c r="E84" s="1466" t="str">
        <f>IF(P$84=D84,1,"x")</f>
        <v>x</v>
      </c>
      <c r="F84" s="1465"/>
      <c r="G84" s="8"/>
      <c r="H84" s="15"/>
      <c r="P84" s="1460">
        <f>'TEST_pour PROTOTYPE'!D30</f>
        <v>0</v>
      </c>
    </row>
    <row r="85" spans="1:44" ht="17" customHeight="1" x14ac:dyDescent="0.2">
      <c r="A85" s="1195"/>
      <c r="C85" s="1482" t="s">
        <v>231</v>
      </c>
      <c r="D85" s="1655">
        <v>0</v>
      </c>
      <c r="E85" s="1466">
        <f>IF(P$84=D85,1,"x")</f>
        <v>1</v>
      </c>
      <c r="F85" s="1465"/>
      <c r="G85" s="8"/>
      <c r="H85" s="15"/>
    </row>
    <row r="86" spans="1:44" ht="17" customHeight="1" x14ac:dyDescent="0.2">
      <c r="A86" s="1195"/>
      <c r="C86" s="1482"/>
      <c r="D86" s="1655"/>
      <c r="E86" s="258"/>
      <c r="F86" s="1465"/>
      <c r="G86" s="8"/>
      <c r="H86" s="15"/>
    </row>
    <row r="87" spans="1:44" ht="17" customHeight="1" x14ac:dyDescent="0.2">
      <c r="A87" s="1195" t="str">
        <f>BIBLE!E37</f>
        <v>B12d</v>
      </c>
      <c r="B87" s="1675" t="str">
        <f>IF(P59&gt;=5,BIBLE!F37," ")</f>
        <v xml:space="preserve"> </v>
      </c>
      <c r="C87" s="1423"/>
      <c r="D87" s="1655"/>
      <c r="E87" s="8"/>
      <c r="F87" s="1465"/>
      <c r="G87" s="8"/>
      <c r="H87" s="15"/>
      <c r="O87" s="2" t="s">
        <v>1292</v>
      </c>
      <c r="P87" s="1460">
        <f>SUM(P88:P92)</f>
        <v>0</v>
      </c>
    </row>
    <row r="88" spans="1:44" ht="35" customHeight="1" x14ac:dyDescent="0.3">
      <c r="A88" s="1195" t="str">
        <f>A93</f>
        <v>B12d</v>
      </c>
      <c r="C88" s="1483" t="s">
        <v>1170</v>
      </c>
      <c r="D88" s="1459">
        <v>1</v>
      </c>
      <c r="E88" s="37">
        <f>'TEST_pour PROTOTYPE'!D31</f>
        <v>0</v>
      </c>
      <c r="F88" s="1465"/>
      <c r="G88" s="8"/>
      <c r="H88" s="15"/>
      <c r="P88" s="1476">
        <f>D88*E88</f>
        <v>0</v>
      </c>
      <c r="AE88" s="2499" t="s">
        <v>1015</v>
      </c>
      <c r="AF88" s="2509" t="s">
        <v>1652</v>
      </c>
      <c r="AG88" s="1718"/>
      <c r="AH88" s="2506" t="s">
        <v>1016</v>
      </c>
      <c r="AI88" s="2507"/>
      <c r="AJ88" s="2508"/>
      <c r="AK88" s="2494" t="s">
        <v>1017</v>
      </c>
      <c r="AL88" s="2495"/>
      <c r="AM88" s="2495"/>
      <c r="AN88" s="2495"/>
      <c r="AO88" s="2495"/>
      <c r="AP88" s="2495"/>
      <c r="AQ88" s="2495"/>
      <c r="AR88" s="2496"/>
    </row>
    <row r="89" spans="1:44" ht="35" customHeight="1" x14ac:dyDescent="0.2">
      <c r="A89" s="1195" t="str">
        <f t="shared" ref="A89:A92" si="12">A88</f>
        <v>B12d</v>
      </c>
      <c r="C89" s="1483" t="s">
        <v>1171</v>
      </c>
      <c r="D89" s="1459">
        <v>2</v>
      </c>
      <c r="E89" s="37">
        <f>'TEST_pour PROTOTYPE'!D32</f>
        <v>0</v>
      </c>
      <c r="F89" s="1465"/>
      <c r="G89" s="8"/>
      <c r="H89" s="15"/>
      <c r="P89" s="1476">
        <f t="shared" ref="P89:P92" si="13">D89*E89</f>
        <v>0</v>
      </c>
      <c r="AE89" s="2500"/>
      <c r="AF89" s="2510"/>
      <c r="AG89" s="1709"/>
      <c r="AH89" s="2497" t="s">
        <v>1012</v>
      </c>
      <c r="AI89" s="2504" t="s">
        <v>1013</v>
      </c>
      <c r="AJ89" s="2502" t="s">
        <v>1014</v>
      </c>
      <c r="AK89" s="2497" t="s">
        <v>55</v>
      </c>
      <c r="AL89" s="2490" t="s">
        <v>96</v>
      </c>
      <c r="AM89" s="2490" t="s">
        <v>68</v>
      </c>
      <c r="AN89" s="2490" t="s">
        <v>61</v>
      </c>
      <c r="AO89" s="2490" t="s">
        <v>44</v>
      </c>
      <c r="AP89" s="2490" t="s">
        <v>64</v>
      </c>
      <c r="AQ89" s="2490" t="s">
        <v>83</v>
      </c>
      <c r="AR89" s="2492" t="s">
        <v>148</v>
      </c>
    </row>
    <row r="90" spans="1:44" ht="35" customHeight="1" x14ac:dyDescent="0.2">
      <c r="A90" s="1195" t="str">
        <f t="shared" si="12"/>
        <v>B12d</v>
      </c>
      <c r="C90" s="1483" t="s">
        <v>1172</v>
      </c>
      <c r="D90" s="1459">
        <v>3</v>
      </c>
      <c r="E90" s="37">
        <f>'TEST_pour PROTOTYPE'!D33</f>
        <v>0</v>
      </c>
      <c r="F90" s="1465"/>
      <c r="G90" s="8"/>
      <c r="H90" s="15"/>
      <c r="P90" s="1476">
        <f t="shared" si="13"/>
        <v>0</v>
      </c>
      <c r="AE90" s="2500"/>
      <c r="AF90" s="2510"/>
      <c r="AG90" s="1709"/>
      <c r="AH90" s="2497"/>
      <c r="AI90" s="2504"/>
      <c r="AJ90" s="2502"/>
      <c r="AK90" s="2497"/>
      <c r="AL90" s="2490"/>
      <c r="AM90" s="2490"/>
      <c r="AN90" s="2490"/>
      <c r="AO90" s="2490"/>
      <c r="AP90" s="2490"/>
      <c r="AQ90" s="2490"/>
      <c r="AR90" s="2492"/>
    </row>
    <row r="91" spans="1:44" ht="35" customHeight="1" x14ac:dyDescent="0.2">
      <c r="A91" s="1195" t="str">
        <f t="shared" si="12"/>
        <v>B12d</v>
      </c>
      <c r="C91" s="1483" t="s">
        <v>1173</v>
      </c>
      <c r="D91" s="1459">
        <v>4</v>
      </c>
      <c r="E91" s="37">
        <f>'TEST_pour PROTOTYPE'!D34</f>
        <v>0</v>
      </c>
      <c r="F91" s="1465"/>
      <c r="G91" s="8"/>
      <c r="H91" s="15"/>
      <c r="P91" s="1476">
        <f t="shared" si="13"/>
        <v>0</v>
      </c>
      <c r="AE91" s="2500"/>
      <c r="AF91" s="2510"/>
      <c r="AG91" s="1709"/>
      <c r="AH91" s="2497"/>
      <c r="AI91" s="2504"/>
      <c r="AJ91" s="2502"/>
      <c r="AK91" s="2497"/>
      <c r="AL91" s="2490"/>
      <c r="AM91" s="2490"/>
      <c r="AN91" s="2490"/>
      <c r="AO91" s="2490"/>
      <c r="AP91" s="2490"/>
      <c r="AQ91" s="2490"/>
      <c r="AR91" s="2492"/>
    </row>
    <row r="92" spans="1:44" ht="33" customHeight="1" x14ac:dyDescent="0.2">
      <c r="A92" s="1195" t="str">
        <f t="shared" si="12"/>
        <v>B12d</v>
      </c>
      <c r="C92" s="1483" t="s">
        <v>1253</v>
      </c>
      <c r="D92" s="1459">
        <v>5</v>
      </c>
      <c r="E92" s="37">
        <f>'TEST_pour PROTOTYPE'!D35</f>
        <v>0</v>
      </c>
      <c r="F92" s="1465"/>
      <c r="G92" s="8"/>
      <c r="H92" s="15"/>
      <c r="P92" s="1476">
        <f t="shared" si="13"/>
        <v>0</v>
      </c>
      <c r="AE92" s="2500"/>
      <c r="AF92" s="2510"/>
      <c r="AG92" s="1709"/>
      <c r="AH92" s="2497"/>
      <c r="AI92" s="2504"/>
      <c r="AJ92" s="2502"/>
      <c r="AK92" s="2497"/>
      <c r="AL92" s="2490"/>
      <c r="AM92" s="2490"/>
      <c r="AN92" s="2490"/>
      <c r="AO92" s="2490"/>
      <c r="AP92" s="2490"/>
      <c r="AQ92" s="2490"/>
      <c r="AR92" s="2492"/>
    </row>
    <row r="93" spans="1:44" ht="33" customHeight="1" x14ac:dyDescent="0.2">
      <c r="A93" s="1195" t="str">
        <f>A87</f>
        <v>B12d</v>
      </c>
      <c r="B93" s="1674"/>
      <c r="C93" s="1484" t="s">
        <v>1515</v>
      </c>
      <c r="D93" s="1459">
        <v>0</v>
      </c>
      <c r="E93" s="37">
        <f>'TEST_pour PROTOTYPE'!D36</f>
        <v>0</v>
      </c>
      <c r="F93" s="1465"/>
      <c r="G93" s="8"/>
      <c r="H93" s="15"/>
      <c r="P93" s="1476">
        <f>D93*E93</f>
        <v>0</v>
      </c>
      <c r="AE93" s="2500"/>
      <c r="AF93" s="2510"/>
      <c r="AG93" s="1709"/>
      <c r="AH93" s="2497"/>
      <c r="AI93" s="2504"/>
      <c r="AJ93" s="2502"/>
      <c r="AK93" s="2497"/>
      <c r="AL93" s="2490"/>
      <c r="AM93" s="2490"/>
      <c r="AN93" s="2490"/>
      <c r="AO93" s="2490"/>
      <c r="AP93" s="2490"/>
      <c r="AQ93" s="2490"/>
      <c r="AR93" s="2492"/>
    </row>
    <row r="94" spans="1:44" ht="25" customHeight="1" x14ac:dyDescent="0.2">
      <c r="A94" s="1195" t="str">
        <f>A92</f>
        <v>B12d</v>
      </c>
      <c r="C94" s="1556" t="s">
        <v>247</v>
      </c>
      <c r="D94" s="1557" t="s">
        <v>1169</v>
      </c>
      <c r="E94" s="37"/>
      <c r="F94" s="8"/>
      <c r="G94" s="8"/>
      <c r="H94" s="1465"/>
      <c r="I94" s="8"/>
      <c r="J94" s="15"/>
      <c r="P94" s="1476"/>
      <c r="AE94" s="2501"/>
      <c r="AF94" s="2511"/>
      <c r="AG94" s="1710"/>
      <c r="AH94" s="2498"/>
      <c r="AI94" s="2505"/>
      <c r="AJ94" s="2503"/>
      <c r="AK94" s="2498"/>
      <c r="AL94" s="2491"/>
      <c r="AM94" s="2491"/>
      <c r="AN94" s="2491"/>
      <c r="AO94" s="2491"/>
      <c r="AP94" s="2491"/>
      <c r="AQ94" s="2491"/>
      <c r="AR94" s="2493"/>
    </row>
    <row r="95" spans="1:44" ht="25" customHeight="1" x14ac:dyDescent="0.2">
      <c r="A95" s="57"/>
      <c r="AE95" s="476"/>
      <c r="AF95" s="1711"/>
      <c r="AG95" s="1711"/>
      <c r="AH95" s="22"/>
      <c r="AI95" s="22"/>
      <c r="AJ95" s="22"/>
      <c r="AK95" s="1236"/>
      <c r="AL95" s="1236"/>
      <c r="AM95" s="1236"/>
      <c r="AN95" s="1236"/>
      <c r="AO95" s="1236"/>
      <c r="AP95" s="1236"/>
      <c r="AQ95" s="1236"/>
      <c r="AR95" s="1236"/>
    </row>
    <row r="96" spans="1:44" x14ac:dyDescent="0.2">
      <c r="A96" s="57"/>
      <c r="C96" s="17"/>
      <c r="E96" s="2514" t="s">
        <v>235</v>
      </c>
      <c r="F96" s="2514"/>
      <c r="G96" s="2514"/>
      <c r="H96" s="2514"/>
      <c r="I96" s="2514"/>
      <c r="J96" s="2514"/>
      <c r="K96" s="2514"/>
      <c r="AE96" s="477"/>
      <c r="AF96" s="38"/>
      <c r="AG96" s="38"/>
      <c r="AH96" s="69"/>
      <c r="AI96" s="69"/>
      <c r="AJ96" s="69"/>
      <c r="AK96" s="683"/>
      <c r="AL96" s="683"/>
      <c r="AM96" s="683"/>
      <c r="AN96" s="683"/>
      <c r="AO96" s="683"/>
      <c r="AP96" s="683"/>
      <c r="AQ96" s="683"/>
      <c r="AR96" s="683"/>
    </row>
    <row r="97" spans="1:61" s="7" customFormat="1" ht="26" customHeight="1" thickBot="1" x14ac:dyDescent="0.25">
      <c r="A97" s="276" t="s">
        <v>236</v>
      </c>
      <c r="C97" s="69"/>
      <c r="D97" s="264" t="s">
        <v>22</v>
      </c>
      <c r="E97" s="59">
        <v>0</v>
      </c>
      <c r="F97" s="59">
        <v>1</v>
      </c>
      <c r="G97" s="59">
        <v>2</v>
      </c>
      <c r="H97" s="59">
        <v>3</v>
      </c>
      <c r="I97" s="59">
        <v>4</v>
      </c>
      <c r="J97" s="59">
        <v>5</v>
      </c>
      <c r="K97" s="59">
        <v>6</v>
      </c>
      <c r="L97" s="59">
        <v>7</v>
      </c>
      <c r="M97" s="59">
        <v>8</v>
      </c>
      <c r="N97" s="59">
        <v>9</v>
      </c>
      <c r="O97" s="59">
        <v>10</v>
      </c>
      <c r="P97" s="60" t="s">
        <v>227</v>
      </c>
      <c r="Q97" s="60" t="s">
        <v>228</v>
      </c>
      <c r="R97" s="60" t="s">
        <v>237</v>
      </c>
      <c r="S97" s="132"/>
      <c r="T97" s="132"/>
      <c r="U97" s="132"/>
      <c r="V97" s="17" t="s">
        <v>441</v>
      </c>
      <c r="W97" s="132"/>
      <c r="X97" s="8"/>
      <c r="Y97" s="8"/>
      <c r="Z97" s="8"/>
      <c r="AA97" s="8"/>
      <c r="AB97" s="8"/>
      <c r="AC97" s="8"/>
      <c r="AE97" s="478"/>
      <c r="AF97" s="1712"/>
      <c r="AG97" s="1712"/>
      <c r="AH97" s="464"/>
      <c r="AI97" s="464"/>
      <c r="AJ97" s="464"/>
      <c r="AK97" s="1237"/>
      <c r="AL97" s="1237"/>
      <c r="AM97" s="1237"/>
      <c r="AN97" s="1237"/>
      <c r="AO97" s="1237"/>
      <c r="AP97" s="1237"/>
      <c r="AQ97" s="1237"/>
      <c r="AR97" s="1237"/>
    </row>
    <row r="98" spans="1:61" s="7" customFormat="1" ht="18" thickTop="1" x14ac:dyDescent="0.2">
      <c r="A98" s="1196" t="str">
        <f>BIBLE!E40</f>
        <v>H01</v>
      </c>
      <c r="B98" s="260" t="str">
        <f>BIBLE!F40</f>
        <v xml:space="preserve">Quel était le degré de complicité entre vous et votre enfant ? </v>
      </c>
      <c r="C98" s="463" t="str">
        <f>BIBLE!O40</f>
        <v>Aucune (1) à Excellente (10)</v>
      </c>
      <c r="D98" s="1657">
        <f>BIBLE!L40</f>
        <v>1</v>
      </c>
      <c r="E98" s="19"/>
      <c r="F98" s="19"/>
      <c r="G98" s="19"/>
      <c r="H98" s="19"/>
      <c r="I98" s="19"/>
      <c r="J98" s="19"/>
      <c r="K98" s="19"/>
      <c r="L98" s="19"/>
      <c r="M98" s="19"/>
      <c r="N98" s="19"/>
      <c r="O98" s="19">
        <v>1</v>
      </c>
      <c r="P98" s="1463">
        <f>'TEST_pour PROTOTYPE'!D49</f>
        <v>10</v>
      </c>
      <c r="Q98" s="24">
        <f>P98*D98</f>
        <v>10</v>
      </c>
      <c r="R98" s="8" t="str">
        <f>IF(BIBLE!K40=0,"",BIBLE!K40)</f>
        <v/>
      </c>
      <c r="V98" s="17" t="s">
        <v>444</v>
      </c>
      <c r="X98" s="8"/>
      <c r="Y98" s="8"/>
      <c r="Z98" s="8"/>
      <c r="AA98" s="8"/>
      <c r="AB98" s="8"/>
      <c r="AC98" s="8"/>
      <c r="AE98" s="478"/>
      <c r="AF98" s="1712"/>
      <c r="AG98" s="1712"/>
      <c r="AH98" s="464"/>
      <c r="AI98" s="464"/>
      <c r="AJ98" s="464"/>
      <c r="AK98" s="1237"/>
      <c r="AL98" s="1237"/>
      <c r="AM98" s="1237"/>
      <c r="AN98" s="1237"/>
      <c r="AO98" s="1237"/>
      <c r="AP98" s="1237"/>
      <c r="AQ98" s="1237"/>
      <c r="AR98" s="1237"/>
    </row>
    <row r="99" spans="1:61" s="7" customFormat="1" ht="34" x14ac:dyDescent="0.2">
      <c r="A99" s="1196" t="str">
        <f>BIBLE!E41</f>
        <v>H02</v>
      </c>
      <c r="B99" s="261" t="str">
        <f>BIBLE!F41</f>
        <v>Dans quelle mesure diriez-vous que votre enfant vous confiait ses joies, ses peines ou questionnements divers ?</v>
      </c>
      <c r="C99" s="463" t="str">
        <f>BIBLE!O41</f>
        <v>Aucune (1) à Excellente (10)</v>
      </c>
      <c r="D99" s="1657">
        <f>BIBLE!L41</f>
        <v>1</v>
      </c>
      <c r="E99" s="20"/>
      <c r="F99" s="20"/>
      <c r="G99" s="20"/>
      <c r="H99" s="20"/>
      <c r="I99" s="20"/>
      <c r="J99" s="20"/>
      <c r="K99" s="20"/>
      <c r="L99" s="20"/>
      <c r="M99" s="20"/>
      <c r="N99" s="20"/>
      <c r="O99" s="20">
        <v>1</v>
      </c>
      <c r="P99" s="1463">
        <f>'TEST_pour PROTOTYPE'!D50</f>
        <v>10</v>
      </c>
      <c r="Q99" s="24">
        <f>P99*D99</f>
        <v>10</v>
      </c>
      <c r="R99" s="8" t="str">
        <f>IF(BIBLE!K41=0,"",BIBLE!K41)</f>
        <v/>
      </c>
      <c r="V99" s="17" t="s">
        <v>445</v>
      </c>
      <c r="X99" s="8"/>
      <c r="Y99" s="8"/>
      <c r="Z99" s="8"/>
      <c r="AA99" s="8"/>
      <c r="AB99" s="8"/>
      <c r="AC99" s="8"/>
      <c r="AE99" s="478"/>
      <c r="AF99" s="1712"/>
      <c r="AG99" s="1712"/>
      <c r="AH99" s="464"/>
      <c r="AI99" s="464"/>
      <c r="AJ99" s="464"/>
      <c r="AK99" s="1237"/>
      <c r="AL99" s="1237"/>
      <c r="AM99" s="1237"/>
      <c r="AN99" s="1237"/>
      <c r="AO99" s="1237"/>
      <c r="AP99" s="1237"/>
      <c r="AQ99" s="1237"/>
      <c r="AR99" s="1237"/>
    </row>
    <row r="100" spans="1:61" s="7" customFormat="1" ht="34" x14ac:dyDescent="0.2">
      <c r="A100" s="1196" t="str">
        <f>BIBLE!E42</f>
        <v>H04</v>
      </c>
      <c r="B100" s="261" t="str">
        <f>BIBLE!F42</f>
        <v>Quel était le degré de complicité entre votre enfant et l'autre parent ?</v>
      </c>
      <c r="C100" s="463" t="str">
        <f>BIBLE!O42</f>
        <v>Aucune (1) à Excellente (10)</v>
      </c>
      <c r="D100" s="1657">
        <f>BIBLE!L42</f>
        <v>1</v>
      </c>
      <c r="E100" s="39"/>
      <c r="F100" s="39"/>
      <c r="G100" s="39"/>
      <c r="H100" s="39"/>
      <c r="I100" s="39"/>
      <c r="J100" s="39"/>
      <c r="K100" s="19"/>
      <c r="L100" s="39"/>
      <c r="M100" s="39"/>
      <c r="N100" s="39"/>
      <c r="O100" s="39"/>
      <c r="P100" s="1463">
        <f>'TEST_pour PROTOTYPE'!D51</f>
        <v>6</v>
      </c>
      <c r="Q100" s="24">
        <f>P100*D100</f>
        <v>6</v>
      </c>
      <c r="R100" s="8">
        <f>IF(BIBLE!K42=0,"",BIBLE!K42)</f>
        <v>6</v>
      </c>
      <c r="S100" s="1260"/>
      <c r="V100" s="17"/>
      <c r="X100" s="8"/>
      <c r="Y100" s="8"/>
      <c r="Z100" s="8"/>
      <c r="AA100" s="8"/>
      <c r="AB100" s="8"/>
      <c r="AC100" s="8"/>
      <c r="AE100" s="478"/>
      <c r="AF100" s="1712"/>
      <c r="AG100" s="1712"/>
      <c r="AH100" s="464"/>
      <c r="AI100" s="464"/>
      <c r="AJ100" s="464"/>
      <c r="AK100" s="1237"/>
      <c r="AL100" s="1237"/>
      <c r="AM100" s="1237"/>
      <c r="AN100" s="1237"/>
      <c r="AO100" s="1237"/>
      <c r="AP100" s="1237"/>
      <c r="AQ100" s="1237"/>
      <c r="AR100" s="1237"/>
    </row>
    <row r="101" spans="1:61" s="7" customFormat="1" ht="34" x14ac:dyDescent="0.2">
      <c r="A101" s="1196" t="str">
        <f>BIBLE!E43</f>
        <v>H04a</v>
      </c>
      <c r="B101" s="103" t="str">
        <f>IF(P100&gt;=$R$100,BIBLE!F43," ")</f>
        <v>Dans quelle mesure diriez-vous que leur relation était fusionnelle ?</v>
      </c>
      <c r="C101" s="463" t="str">
        <f>BIBLE!O43</f>
        <v>Aucune (1) à Excellente (10)</v>
      </c>
      <c r="D101" s="1657">
        <f>BIBLE!L43</f>
        <v>1</v>
      </c>
      <c r="E101" s="8"/>
      <c r="F101" s="8"/>
      <c r="G101" s="8"/>
      <c r="H101" s="8"/>
      <c r="I101" s="8"/>
      <c r="J101" s="8"/>
      <c r="K101" s="8"/>
      <c r="P101" s="1463">
        <f>'TEST_pour PROTOTYPE'!D52</f>
        <v>1</v>
      </c>
      <c r="Q101" s="24">
        <f>P101*D101</f>
        <v>1</v>
      </c>
      <c r="R101" s="8">
        <f>IF(BIBLE!K43=0,"",BIBLE!K43)</f>
        <v>5</v>
      </c>
      <c r="S101" s="1260"/>
      <c r="X101" s="8"/>
      <c r="Y101" s="8"/>
      <c r="Z101" s="8"/>
      <c r="AA101" s="8"/>
      <c r="AB101" s="8"/>
      <c r="AC101" s="8"/>
      <c r="AE101" s="478"/>
      <c r="AF101" s="1712"/>
      <c r="AG101" s="1712"/>
      <c r="AH101" s="464"/>
      <c r="AI101" s="464"/>
      <c r="AJ101" s="464"/>
      <c r="AK101" s="1237"/>
      <c r="AL101" s="1237"/>
      <c r="AM101" s="1237"/>
      <c r="AN101" s="1237"/>
      <c r="AO101" s="1237"/>
      <c r="AP101" s="1237"/>
      <c r="AQ101" s="1237"/>
      <c r="AR101" s="1237"/>
    </row>
    <row r="102" spans="1:61" s="7" customFormat="1" ht="30" customHeight="1" x14ac:dyDescent="0.2">
      <c r="A102" s="1196" t="str">
        <f>BIBLE!E44</f>
        <v>H04a1</v>
      </c>
      <c r="B102" s="103" t="str">
        <f>IF(P101&gt;=$R$101,BIBLE!F44," ")</f>
        <v xml:space="preserve"> </v>
      </c>
      <c r="C102" s="463" t="str">
        <f>BIBLE!O44</f>
        <v>Aucune (1) à Excellente (10)</v>
      </c>
      <c r="D102" s="1657">
        <f>BIBLE!L44</f>
        <v>1</v>
      </c>
      <c r="E102" s="19"/>
      <c r="F102" s="19"/>
      <c r="G102" s="19"/>
      <c r="H102" s="19"/>
      <c r="I102" s="19"/>
      <c r="J102" s="19"/>
      <c r="K102" s="19"/>
      <c r="L102" s="19"/>
      <c r="M102" s="19"/>
      <c r="N102" s="19"/>
      <c r="O102" s="19"/>
      <c r="P102" s="1463">
        <f>'TEST_pour PROTOTYPE'!D53</f>
        <v>0</v>
      </c>
      <c r="Q102" s="24">
        <f>P102*D102</f>
        <v>0</v>
      </c>
      <c r="R102" s="8" t="str">
        <f>IF(BIBLE!K44=0,"",BIBLE!K44)</f>
        <v/>
      </c>
      <c r="V102" s="17" t="s">
        <v>442</v>
      </c>
      <c r="X102" s="8"/>
      <c r="Y102" s="8"/>
      <c r="Z102" s="8"/>
      <c r="AA102" s="8"/>
      <c r="AB102" s="8"/>
      <c r="AC102" s="8"/>
      <c r="AE102" s="478"/>
      <c r="AF102" s="1712"/>
      <c r="AG102" s="1712"/>
      <c r="AH102" s="464"/>
      <c r="AI102" s="464"/>
      <c r="AJ102" s="464"/>
      <c r="AK102" s="1237"/>
      <c r="AL102" s="1237"/>
      <c r="AM102" s="1237"/>
      <c r="AN102" s="1237"/>
      <c r="AO102" s="1237"/>
      <c r="AP102" s="1237"/>
      <c r="AQ102" s="1237"/>
      <c r="AR102" s="1237"/>
    </row>
    <row r="103" spans="1:61" s="7" customFormat="1" ht="17" thickBot="1" x14ac:dyDescent="0.25">
      <c r="A103" s="1196"/>
      <c r="B103" s="272"/>
      <c r="C103" s="464"/>
      <c r="D103" s="1657"/>
      <c r="E103" s="472">
        <f>$E$52</f>
        <v>0</v>
      </c>
      <c r="F103" s="275">
        <f>$F$52</f>
        <v>0</v>
      </c>
      <c r="G103" s="275">
        <f>$G$52</f>
        <v>1</v>
      </c>
      <c r="H103" s="275">
        <f>$H$52</f>
        <v>2</v>
      </c>
      <c r="I103" s="275">
        <f>$I$52</f>
        <v>4</v>
      </c>
      <c r="J103" s="275">
        <f>$J$52</f>
        <v>7</v>
      </c>
      <c r="K103" s="275">
        <f>$K$52</f>
        <v>10</v>
      </c>
      <c r="L103" s="132"/>
      <c r="M103" s="132"/>
      <c r="N103" s="132"/>
      <c r="P103" s="1463"/>
      <c r="Q103" s="24"/>
      <c r="S103" s="1260"/>
      <c r="X103" s="8"/>
      <c r="Y103" s="8"/>
      <c r="Z103" s="8"/>
      <c r="AA103" s="8"/>
      <c r="AB103" s="8"/>
      <c r="AC103" s="8"/>
      <c r="AE103" s="478"/>
      <c r="AF103" s="1712"/>
      <c r="AG103" s="1712"/>
      <c r="AH103" s="464"/>
      <c r="AI103" s="464"/>
      <c r="AJ103" s="464"/>
      <c r="AK103" s="1237"/>
      <c r="AL103" s="1237"/>
      <c r="AM103" s="1237"/>
      <c r="AN103" s="1237"/>
      <c r="AO103" s="1237"/>
      <c r="AP103" s="1237"/>
      <c r="AQ103" s="1237"/>
      <c r="AR103" s="1237"/>
    </row>
    <row r="104" spans="1:61" s="7" customFormat="1" ht="61" thickTop="1" x14ac:dyDescent="0.2">
      <c r="A104" s="1196" t="str">
        <f>BIBLE!E45</f>
        <v>H05</v>
      </c>
      <c r="B104" s="25" t="str">
        <f>BIBLE!F45</f>
        <v>Arrivait-il que l'autre parent vous critique ou vous dénigre devant votre enfant ?</v>
      </c>
      <c r="C104" s="463" t="str">
        <f>BIBLE!O45</f>
        <v xml:space="preserve">Jamais / Rarement / Occasionnellement / Régulièrement / Souvent / Toujours / S.O. </v>
      </c>
      <c r="D104" s="1657">
        <f>BIBLE!L45</f>
        <v>2</v>
      </c>
      <c r="E104" s="20"/>
      <c r="F104" s="20"/>
      <c r="G104" s="20"/>
      <c r="H104" s="20"/>
      <c r="I104" s="20">
        <v>1</v>
      </c>
      <c r="J104" s="20"/>
      <c r="K104" s="20"/>
      <c r="L104" s="20"/>
      <c r="M104" s="20"/>
      <c r="N104" s="20"/>
      <c r="O104" s="20"/>
      <c r="P104" s="1463">
        <f>'TEST_pour PROTOTYPE'!D54</f>
        <v>2</v>
      </c>
      <c r="Q104" s="24">
        <f>P104*D104</f>
        <v>4</v>
      </c>
      <c r="R104" s="8">
        <f>IF(BIBLE!K45=0,"",BIBLE!K45)</f>
        <v>2</v>
      </c>
      <c r="S104" s="1260"/>
      <c r="X104" s="8"/>
      <c r="Y104" s="8"/>
      <c r="Z104" s="8"/>
      <c r="AA104" s="8"/>
      <c r="AB104" s="8"/>
      <c r="AC104" s="8"/>
      <c r="AE104" s="478"/>
      <c r="AF104" s="1712"/>
      <c r="AG104" s="1712"/>
      <c r="AH104" s="464"/>
      <c r="AI104" s="464"/>
      <c r="AJ104" s="464"/>
      <c r="AK104" s="1237"/>
      <c r="AL104" s="1237"/>
      <c r="AM104" s="1237"/>
      <c r="AN104" s="1237"/>
      <c r="AO104" s="1237"/>
      <c r="AP104" s="1237"/>
      <c r="AQ104" s="1237"/>
      <c r="AR104" s="1237"/>
    </row>
    <row r="105" spans="1:61" s="7" customFormat="1" ht="60" x14ac:dyDescent="0.2">
      <c r="A105" s="1196" t="str">
        <f>BIBLE!E46</f>
        <v>H05a</v>
      </c>
      <c r="B105" s="1214" t="str">
        <f>IF(P104&gt;=R104,BIBLE!F46," ")</f>
        <v>Arrivait-il que l'autre parent hausse le ton ou vous insulte pour imposer son point de vue ou sa volonté ?</v>
      </c>
      <c r="C105" s="463" t="str">
        <f>BIBLE!O46</f>
        <v xml:space="preserve">Jamais / Rarement / Occasionnellement / Régulièrement / Souvent / Toujours / S.O. </v>
      </c>
      <c r="D105" s="1657">
        <f>BIBLE!L46</f>
        <v>3</v>
      </c>
      <c r="E105" s="20"/>
      <c r="F105" s="52"/>
      <c r="G105" s="20"/>
      <c r="H105" s="52"/>
      <c r="I105" s="20">
        <v>1</v>
      </c>
      <c r="J105" s="20"/>
      <c r="K105" s="20"/>
      <c r="L105" s="67"/>
      <c r="M105" s="6"/>
      <c r="N105" s="8"/>
      <c r="P105" s="1463">
        <f>'TEST_pour PROTOTYPE'!D55</f>
        <v>2</v>
      </c>
      <c r="Q105" s="24">
        <f>P105*D105</f>
        <v>6</v>
      </c>
      <c r="R105" s="8"/>
      <c r="X105" s="8"/>
      <c r="Y105" s="8"/>
      <c r="Z105" s="8"/>
      <c r="AA105" s="8"/>
      <c r="AB105" s="8"/>
      <c r="AC105" s="8"/>
      <c r="AE105" s="449">
        <f>Q105</f>
        <v>6</v>
      </c>
      <c r="AF105" s="1713"/>
      <c r="AG105" s="1713"/>
      <c r="AH105" s="24"/>
      <c r="AI105" s="24"/>
      <c r="AJ105" s="24"/>
      <c r="AK105" s="1238"/>
      <c r="AL105" s="1238"/>
      <c r="AM105" s="1238"/>
      <c r="AN105" s="1238"/>
      <c r="AO105" s="1238"/>
      <c r="AP105" s="1238"/>
      <c r="AQ105" s="1238"/>
      <c r="AR105" s="1238"/>
    </row>
    <row r="106" spans="1:61" s="7" customFormat="1" ht="58" customHeight="1" x14ac:dyDescent="0.2">
      <c r="A106" s="1196" t="str">
        <f>BIBLE!E47</f>
        <v>H06</v>
      </c>
      <c r="B106" s="260" t="str">
        <f>BIBLE!F47</f>
        <v xml:space="preserve">Dans quelle mesure diriez-vous que l'autre parent percevait votre rôle parental aussi important que le sien ? </v>
      </c>
      <c r="C106" s="463" t="str">
        <f>BIBLE!O47</f>
        <v>Très élevée / Élevée / Moyenne / Faible / Très faible / Nulle / S.O.</v>
      </c>
      <c r="D106" s="1657">
        <f>BIBLE!L47</f>
        <v>1</v>
      </c>
      <c r="E106" s="20"/>
      <c r="F106" s="52"/>
      <c r="G106" s="20"/>
      <c r="H106" s="52"/>
      <c r="I106" s="20">
        <v>1</v>
      </c>
      <c r="J106" s="20"/>
      <c r="K106" s="20"/>
      <c r="L106" s="20"/>
      <c r="M106" s="20"/>
      <c r="N106" s="20"/>
      <c r="O106" s="20"/>
      <c r="P106" s="1463">
        <f>'TEST_pour PROTOTYPE'!D56</f>
        <v>1</v>
      </c>
      <c r="Q106" s="24">
        <f>P106*D106</f>
        <v>1</v>
      </c>
      <c r="R106" s="8">
        <f>IF(BIBLE!K47=0,"",BIBLE!K47)</f>
        <v>4</v>
      </c>
      <c r="V106" s="8"/>
      <c r="X106" s="8"/>
      <c r="Y106" s="8"/>
      <c r="Z106" s="8"/>
      <c r="AA106" s="8"/>
      <c r="AB106" s="8"/>
      <c r="AC106" s="8"/>
      <c r="AE106" s="478"/>
      <c r="AF106" s="1712"/>
      <c r="AG106" s="1712"/>
      <c r="AH106" s="464"/>
      <c r="AI106" s="464"/>
      <c r="AJ106" s="464"/>
      <c r="AK106" s="1237"/>
      <c r="AL106" s="1237"/>
      <c r="AM106" s="1237"/>
      <c r="AN106" s="1237"/>
      <c r="AO106" s="1237"/>
      <c r="AP106" s="1237"/>
      <c r="AQ106" s="1237"/>
      <c r="AR106" s="1237"/>
    </row>
    <row r="107" spans="1:61" s="7" customFormat="1" ht="53" customHeight="1" x14ac:dyDescent="0.2">
      <c r="A107" s="1196" t="str">
        <f>BIBLE!E48</f>
        <v>H06a</v>
      </c>
      <c r="B107" s="1214" t="str">
        <f>IF(P106&gt;=R106,BIBLE!F48," ")</f>
        <v xml:space="preserve"> </v>
      </c>
      <c r="C107" s="463" t="str">
        <f>BIBLE!O48</f>
        <v xml:space="preserve">Jamais / Rarement / Occasionnellement / Régulièrement / Souvent / Toujours / S.O. </v>
      </c>
      <c r="D107" s="1657">
        <f>BIBLE!L48</f>
        <v>3</v>
      </c>
      <c r="E107" s="8"/>
      <c r="F107" s="8"/>
      <c r="G107" s="8"/>
      <c r="H107" s="8"/>
      <c r="I107" s="8"/>
      <c r="J107" s="8"/>
      <c r="K107" s="8"/>
      <c r="L107" s="8"/>
      <c r="M107" s="8"/>
      <c r="N107" s="8"/>
      <c r="O107" s="8"/>
      <c r="P107" s="1463">
        <f>'TEST_pour PROTOTYPE'!D57</f>
        <v>0</v>
      </c>
      <c r="Q107" s="24">
        <f>P107*D107</f>
        <v>0</v>
      </c>
      <c r="R107" s="8"/>
      <c r="V107" s="8"/>
      <c r="X107" s="8"/>
      <c r="Y107" s="8"/>
      <c r="Z107" s="8"/>
      <c r="AA107" s="8"/>
      <c r="AB107" s="8"/>
      <c r="AC107" s="8"/>
      <c r="AE107" s="449">
        <f>Q107</f>
        <v>0</v>
      </c>
      <c r="AF107" s="1713"/>
      <c r="AG107" s="1713"/>
      <c r="AH107" s="24"/>
      <c r="AI107" s="24"/>
      <c r="AJ107" s="24"/>
      <c r="AK107" s="1238"/>
      <c r="AL107" s="1238"/>
      <c r="AM107" s="1238"/>
      <c r="AN107" s="1238"/>
      <c r="AO107" s="1238"/>
      <c r="AP107" s="1238"/>
      <c r="AQ107" s="1238"/>
      <c r="AR107" s="1238"/>
    </row>
    <row r="108" spans="1:61" s="8" customFormat="1" ht="27" customHeight="1" x14ac:dyDescent="0.2">
      <c r="A108" s="259"/>
      <c r="B108" s="54"/>
      <c r="C108" s="277"/>
      <c r="D108" s="267"/>
      <c r="E108" s="2514" t="s">
        <v>235</v>
      </c>
      <c r="F108" s="2514"/>
      <c r="G108" s="2514"/>
      <c r="H108" s="2514"/>
      <c r="I108" s="2514"/>
      <c r="J108" s="2514"/>
      <c r="K108" s="2514"/>
      <c r="L108"/>
      <c r="M108"/>
      <c r="N108"/>
      <c r="O108"/>
      <c r="P108"/>
      <c r="Q108"/>
      <c r="R108"/>
      <c r="X108" s="2487" t="s">
        <v>356</v>
      </c>
      <c r="Y108" s="2487"/>
      <c r="Z108" s="2487"/>
      <c r="AA108" s="2487"/>
      <c r="AB108" s="2487"/>
      <c r="AC108" s="2487"/>
      <c r="AE108" s="476"/>
      <c r="AF108" s="1711"/>
      <c r="AG108" s="1711"/>
      <c r="AH108" s="22"/>
      <c r="AI108" s="22"/>
      <c r="AJ108" s="22"/>
      <c r="AK108" s="1236"/>
      <c r="AL108" s="1236"/>
      <c r="AM108" s="1236"/>
      <c r="AN108" s="1236"/>
      <c r="AO108" s="1236"/>
      <c r="AP108" s="1236"/>
      <c r="AQ108" s="1236"/>
      <c r="AR108" s="1236"/>
    </row>
    <row r="109" spans="1:61" s="7" customFormat="1" ht="34" customHeight="1" thickBot="1" x14ac:dyDescent="0.25">
      <c r="A109" s="278" t="s">
        <v>409</v>
      </c>
      <c r="B109" s="25"/>
      <c r="C109" s="69"/>
      <c r="D109" s="264" t="s">
        <v>22</v>
      </c>
      <c r="E109" s="59">
        <v>0</v>
      </c>
      <c r="F109" s="59">
        <v>1</v>
      </c>
      <c r="G109" s="59">
        <v>2</v>
      </c>
      <c r="H109" s="59">
        <v>3</v>
      </c>
      <c r="I109" s="59">
        <v>4</v>
      </c>
      <c r="J109" s="59">
        <v>5</v>
      </c>
      <c r="K109" s="59">
        <v>6</v>
      </c>
      <c r="L109" s="59">
        <v>7</v>
      </c>
      <c r="M109" s="59">
        <v>8</v>
      </c>
      <c r="N109" s="59">
        <v>9</v>
      </c>
      <c r="O109" s="59">
        <v>10</v>
      </c>
      <c r="P109" s="60" t="s">
        <v>227</v>
      </c>
      <c r="Q109" s="60" t="s">
        <v>228</v>
      </c>
      <c r="R109" s="60" t="s">
        <v>237</v>
      </c>
      <c r="V109" s="15" t="s">
        <v>443</v>
      </c>
      <c r="X109" s="448">
        <v>0</v>
      </c>
      <c r="Y109" s="448">
        <f>G111</f>
        <v>1</v>
      </c>
      <c r="Z109" s="448">
        <f>H111</f>
        <v>2</v>
      </c>
      <c r="AA109" s="448">
        <f>I111</f>
        <v>4</v>
      </c>
      <c r="AB109" s="448">
        <f>J111</f>
        <v>7</v>
      </c>
      <c r="AC109" s="448">
        <f>K111</f>
        <v>10</v>
      </c>
      <c r="AE109" s="477"/>
      <c r="AF109" s="38"/>
      <c r="AG109" s="38"/>
      <c r="AH109" s="69"/>
      <c r="AI109" s="69"/>
      <c r="AJ109" s="69"/>
      <c r="AK109" s="683"/>
      <c r="AL109" s="683"/>
      <c r="AM109" s="683"/>
      <c r="AN109" s="683"/>
      <c r="AO109" s="683"/>
      <c r="AP109" s="683"/>
      <c r="AQ109" s="683"/>
      <c r="AR109" s="683"/>
      <c r="AS109" s="7" t="s">
        <v>1010</v>
      </c>
      <c r="BB109" s="17" t="s">
        <v>1019</v>
      </c>
    </row>
    <row r="110" spans="1:61" s="7" customFormat="1" ht="34" customHeight="1" thickTop="1" x14ac:dyDescent="0.2">
      <c r="A110" s="1197" t="str">
        <f>BIBLE!E50</f>
        <v>PCR00</v>
      </c>
      <c r="B110" s="25" t="str">
        <f>BIBLE!F50</f>
        <v>Quelle est le degré de complicité entre vous et l'autre parent (coparent), aujourd'hui ?</v>
      </c>
      <c r="C110" s="1617" t="str">
        <f>BIBLE!O50</f>
        <v>Aucune (1) à Excellente (10)</v>
      </c>
      <c r="D110" s="1657">
        <f>BIBLE!L50</f>
        <v>1</v>
      </c>
      <c r="E110" s="438"/>
      <c r="F110" s="438"/>
      <c r="G110" s="438"/>
      <c r="H110" s="438"/>
      <c r="I110" s="438"/>
      <c r="J110" s="438"/>
      <c r="K110" s="438"/>
      <c r="P110" s="1463">
        <f>'TEST_pour PROTOTYPE'!D83</f>
        <v>1</v>
      </c>
      <c r="Q110" s="24">
        <f>P110*D110</f>
        <v>1</v>
      </c>
      <c r="R110" s="816">
        <f>BIBLE!K50</f>
        <v>6</v>
      </c>
      <c r="V110" s="15"/>
      <c r="X110" s="448"/>
      <c r="Y110" s="448"/>
      <c r="Z110" s="448"/>
      <c r="AA110" s="448"/>
      <c r="AB110" s="448"/>
      <c r="AC110" s="448"/>
      <c r="AE110" s="477"/>
      <c r="AF110" s="38"/>
      <c r="AG110" s="38"/>
      <c r="AH110" s="69"/>
      <c r="AI110" s="69"/>
      <c r="AJ110" s="69"/>
      <c r="AK110" s="683"/>
      <c r="AL110" s="683"/>
      <c r="AM110" s="683"/>
      <c r="AN110" s="683"/>
      <c r="AO110" s="683"/>
      <c r="AP110" s="683"/>
      <c r="AQ110" s="683"/>
      <c r="AR110" s="683"/>
      <c r="BB110" s="17"/>
    </row>
    <row r="111" spans="1:61" s="7" customFormat="1" ht="34" customHeight="1" thickBot="1" x14ac:dyDescent="0.25">
      <c r="A111" s="278"/>
      <c r="B111" s="25"/>
      <c r="C111" s="69"/>
      <c r="D111" s="1657" t="s">
        <v>239</v>
      </c>
      <c r="E111" s="472">
        <f>$E$52</f>
        <v>0</v>
      </c>
      <c r="F111" s="275">
        <f>$F$52</f>
        <v>0</v>
      </c>
      <c r="G111" s="275">
        <f>$G$52</f>
        <v>1</v>
      </c>
      <c r="H111" s="275">
        <f>$H$52</f>
        <v>2</v>
      </c>
      <c r="I111" s="275">
        <f>$I$52</f>
        <v>4</v>
      </c>
      <c r="J111" s="275">
        <f>$J$52</f>
        <v>7</v>
      </c>
      <c r="K111" s="275">
        <f>$K$52</f>
        <v>10</v>
      </c>
      <c r="P111" s="1136"/>
      <c r="Q111" s="1136"/>
      <c r="R111" s="1136"/>
      <c r="V111" s="15"/>
      <c r="X111" s="448"/>
      <c r="Y111" s="448"/>
      <c r="Z111" s="448"/>
      <c r="AA111" s="448"/>
      <c r="AB111" s="448"/>
      <c r="AC111" s="448"/>
      <c r="AE111" s="477"/>
      <c r="AF111" s="38"/>
      <c r="AG111" s="38"/>
      <c r="AH111" s="69"/>
      <c r="AI111" s="69"/>
      <c r="AJ111" s="69"/>
      <c r="AK111" s="683"/>
      <c r="AL111" s="683"/>
      <c r="AM111" s="683"/>
      <c r="AN111" s="683"/>
      <c r="AO111" s="683"/>
      <c r="AP111" s="683"/>
      <c r="AQ111" s="683"/>
      <c r="AR111" s="683"/>
      <c r="BB111" s="17"/>
    </row>
    <row r="112" spans="1:61" s="17" customFormat="1" ht="56" customHeight="1" thickTop="1" x14ac:dyDescent="0.2">
      <c r="A112" s="1197" t="str">
        <f>BIBLE!E51</f>
        <v>PCR01</v>
      </c>
      <c r="B112" s="1618" t="str">
        <f>IF(P110&gt;=R110,BIBLE!F51," ")</f>
        <v xml:space="preserve"> </v>
      </c>
      <c r="C112" s="850" t="str">
        <f>BIBLE!O51</f>
        <v xml:space="preserve">Tout à fait d’accord / D'accord / Partiellement d'accord / Partiellement en désaccord / En désaccord / Tout à fait en désaccord / S.O. </v>
      </c>
      <c r="D112" s="1657">
        <f>IF(P112&lt;=2,BIBLE!M51,BIBLE!L51)</f>
        <v>0</v>
      </c>
      <c r="E112" s="20"/>
      <c r="F112" s="851"/>
      <c r="G112" s="851"/>
      <c r="H112" s="851"/>
      <c r="I112" s="851">
        <v>1</v>
      </c>
      <c r="J112" s="851"/>
      <c r="K112" s="851"/>
      <c r="L112" s="851"/>
      <c r="M112" s="20"/>
      <c r="N112" s="20"/>
      <c r="O112" s="20"/>
      <c r="P112" s="1463">
        <f>'TEST_pour PROTOTYPE'!D84</f>
        <v>0</v>
      </c>
      <c r="Q112" s="24">
        <f t="shared" ref="Q112:Q114" si="14">P112*D112</f>
        <v>0</v>
      </c>
      <c r="R112" s="8">
        <f>BIBLE!K51</f>
        <v>2</v>
      </c>
      <c r="S112" s="16"/>
      <c r="T112" s="16"/>
      <c r="U112" s="16"/>
      <c r="V112" s="6">
        <f>MAX(AS112:AS114)</f>
        <v>0</v>
      </c>
      <c r="W112" s="8"/>
      <c r="X112" s="6">
        <f>MAX(AU112:AU114)</f>
        <v>0</v>
      </c>
      <c r="Y112" s="6">
        <f t="shared" ref="Y112" si="15">MAX(AV112:AV114)</f>
        <v>0</v>
      </c>
      <c r="Z112" s="6">
        <f t="shared" ref="Z112" si="16">MAX(AW112:AW114)</f>
        <v>0</v>
      </c>
      <c r="AA112" s="6">
        <f t="shared" ref="AA112" si="17">MAX(AX112:AX114)</f>
        <v>0</v>
      </c>
      <c r="AB112" s="6">
        <f t="shared" ref="AB112" si="18">MAX(AY112:AY114)</f>
        <v>0</v>
      </c>
      <c r="AC112" s="6">
        <f t="shared" ref="AC112" si="19">MAX(AZ112:AZ114)</f>
        <v>0</v>
      </c>
      <c r="AD112" s="8"/>
      <c r="AE112" s="476"/>
      <c r="AF112" s="1711"/>
      <c r="AG112" s="1711"/>
      <c r="AH112" s="22">
        <f>IF($Q112=$V112,$Q112*BIBLE!S51,IF(Test_Bible!$Q113=Test_Bible!$V112,Test_Bible!$Q113*BIBLE!S52,Test_Bible!$Q114*BIBLE!S53))</f>
        <v>0</v>
      </c>
      <c r="AI112" s="22">
        <f>IF($Q112=$V112,$Q112*BIBLE!T51,IF(Test_Bible!$Q113=Test_Bible!$V112,Test_Bible!$Q113*BIBLE!T52,Test_Bible!$Q114*BIBLE!T53))</f>
        <v>0</v>
      </c>
      <c r="AJ112" s="22">
        <f>IF($Q112=$V112,$Q112*BIBLE!U51,IF(Test_Bible!$Q113=Test_Bible!$V112,Test_Bible!$Q113*BIBLE!U52,Test_Bible!$Q114*BIBLE!U254))</f>
        <v>0</v>
      </c>
      <c r="AK112" s="1236">
        <f>IF($Q112=$V112,$Q112*BIBLE!W27,IF(Test_Bible!$Q113=Test_Bible!$V112,Test_Bible!$Q113*BIBLE!W28,Test_Bible!$Q114*BIBLE!W29))</f>
        <v>0</v>
      </c>
      <c r="AL112" s="1236">
        <f>IF($Q112=$V112,$Q112*BIBLE!X27,IF(Test_Bible!$Q113=Test_Bible!$V112,Test_Bible!$Q113*BIBLE!X28,Test_Bible!$Q114*BIBLE!X29))</f>
        <v>0</v>
      </c>
      <c r="AM112" s="1236">
        <f>IF($Q112=$V112,$Q112*BIBLE!Y27,IF(Test_Bible!$Q113=Test_Bible!$V112,Test_Bible!$Q113*BIBLE!Y28,Test_Bible!$Q114*BIBLE!Y29))</f>
        <v>0</v>
      </c>
      <c r="AN112" s="1236">
        <f>IF($Q112=$V112,$Q112*BIBLE!Z27,IF(Test_Bible!$Q113=Test_Bible!$V112,Test_Bible!$Q113*BIBLE!Z28,Test_Bible!$Q114*BIBLE!Z29))</f>
        <v>0</v>
      </c>
      <c r="AO112" s="1236">
        <f>IF($Q112=$V112,$Q112*BIBLE!AA27,IF(Test_Bible!$Q113=Test_Bible!$V112,Test_Bible!$Q113*BIBLE!AA28,Test_Bible!$Q114*BIBLE!AA29))</f>
        <v>0</v>
      </c>
      <c r="AP112" s="1236">
        <f>IF($Q112=$V112,$Q112*BIBLE!AB27,IF(Test_Bible!$Q113=Test_Bible!$V112,Test_Bible!$Q113*BIBLE!AB28,Test_Bible!$Q114*BIBLE!AB29))</f>
        <v>0</v>
      </c>
      <c r="AQ112" s="1236">
        <f>IF($Q112=$V112,$Q112*BIBLE!AC27,IF(Test_Bible!$Q113=Test_Bible!$V112,Test_Bible!$Q113*BIBLE!AC28,Test_Bible!$Q114*BIBLE!AC29))</f>
        <v>0</v>
      </c>
      <c r="AR112" s="1236">
        <f>IF($Q112=$V112,$Q112*BIBLE!AD27,IF(Test_Bible!$Q113=Test_Bible!$V112,Test_Bible!$Q113*BIBLE!AD28,Test_Bible!$Q114*BIBLE!AD29))</f>
        <v>0</v>
      </c>
      <c r="AS112" s="6">
        <f>Q112</f>
        <v>0</v>
      </c>
      <c r="AT112" s="16"/>
      <c r="AU112" s="6">
        <f>IF($Q112&gt;0,X$109*$D112,0)</f>
        <v>0</v>
      </c>
      <c r="AV112" s="6">
        <f t="shared" ref="AV112:AV114" si="20">IF($Q112&gt;0,Y$109*$D112,0)</f>
        <v>0</v>
      </c>
      <c r="AW112" s="6">
        <f t="shared" ref="AW112:AW114" si="21">IF($Q112&gt;0,Z$109*$D112,0)</f>
        <v>0</v>
      </c>
      <c r="AX112" s="6">
        <f t="shared" ref="AX112:AX114" si="22">IF($Q112&gt;0,AA$109*$D112,0)</f>
        <v>0</v>
      </c>
      <c r="AY112" s="6">
        <f t="shared" ref="AY112:AY114" si="23">IF($Q112&gt;0,AB$109*$D112,0)</f>
        <v>0</v>
      </c>
      <c r="AZ112" s="6">
        <f t="shared" ref="AZ112:AZ114" si="24">IF($Q112&gt;0,AC$109*$D112,0)</f>
        <v>0</v>
      </c>
      <c r="BA112" s="8"/>
      <c r="BB112" s="6" t="s">
        <v>447</v>
      </c>
      <c r="BC112" s="8"/>
      <c r="BD112" s="442">
        <f t="shared" ref="BD112:BI112" si="25">AU112</f>
        <v>0</v>
      </c>
      <c r="BE112" s="442">
        <f t="shared" si="25"/>
        <v>0</v>
      </c>
      <c r="BF112" s="442">
        <f t="shared" si="25"/>
        <v>0</v>
      </c>
      <c r="BG112" s="442">
        <f t="shared" si="25"/>
        <v>0</v>
      </c>
      <c r="BH112" s="442">
        <f t="shared" si="25"/>
        <v>0</v>
      </c>
      <c r="BI112" s="442">
        <f t="shared" si="25"/>
        <v>0</v>
      </c>
    </row>
    <row r="113" spans="1:61" s="17" customFormat="1" ht="60" x14ac:dyDescent="0.2">
      <c r="A113" s="1197" t="str">
        <f>BIBLE!E52</f>
        <v>PCR01a</v>
      </c>
      <c r="B113" s="1513" t="str">
        <f>IF(P112&gt;=R112,BIBLE!F52," ")</f>
        <v xml:space="preserve"> </v>
      </c>
      <c r="C113" s="850" t="str">
        <f>BIBLE!O52</f>
        <v xml:space="preserve">Jamais / Rarement / Occasionnellement / Régulièrement / Souvent / Toujours / S.O. </v>
      </c>
      <c r="D113" s="1657">
        <f>BIBLE!L52</f>
        <v>2</v>
      </c>
      <c r="E113" s="20"/>
      <c r="F113" s="851"/>
      <c r="G113" s="851"/>
      <c r="H113" s="851"/>
      <c r="I113" s="851">
        <v>1</v>
      </c>
      <c r="J113" s="851"/>
      <c r="K113" s="851"/>
      <c r="L113" s="851"/>
      <c r="M113" s="20"/>
      <c r="N113" s="20"/>
      <c r="O113" s="20"/>
      <c r="P113" s="1463">
        <f>'TEST_pour PROTOTYPE'!D85</f>
        <v>0</v>
      </c>
      <c r="Q113" s="24">
        <f t="shared" si="14"/>
        <v>0</v>
      </c>
      <c r="R113" s="8">
        <f>BIBLE!K52</f>
        <v>4</v>
      </c>
      <c r="S113" s="16"/>
      <c r="T113" s="16"/>
      <c r="U113" s="16"/>
      <c r="V113" s="8"/>
      <c r="W113" s="8"/>
      <c r="X113" s="8"/>
      <c r="Y113" s="8"/>
      <c r="Z113" s="8"/>
      <c r="AA113" s="8"/>
      <c r="AB113" s="8"/>
      <c r="AC113" s="8"/>
      <c r="AD113" s="8"/>
      <c r="AE113" s="476"/>
      <c r="AF113" s="1711"/>
      <c r="AG113" s="1711"/>
      <c r="AH113" s="22"/>
      <c r="AI113" s="22"/>
      <c r="AJ113" s="22"/>
      <c r="AK113" s="1236"/>
      <c r="AL113" s="1236"/>
      <c r="AM113" s="1236"/>
      <c r="AN113" s="1236"/>
      <c r="AO113" s="1236"/>
      <c r="AP113" s="1236"/>
      <c r="AQ113" s="1236"/>
      <c r="AR113" s="1236"/>
      <c r="AS113" s="6">
        <f>Q113</f>
        <v>0</v>
      </c>
      <c r="AT113" s="16"/>
      <c r="AU113" s="6">
        <f t="shared" ref="AU113:AU114" si="26">IF($Q113&gt;0,X$109*$D113,0)</f>
        <v>0</v>
      </c>
      <c r="AV113" s="6">
        <f t="shared" si="20"/>
        <v>0</v>
      </c>
      <c r="AW113" s="6">
        <f t="shared" si="21"/>
        <v>0</v>
      </c>
      <c r="AX113" s="6">
        <f t="shared" si="22"/>
        <v>0</v>
      </c>
      <c r="AY113" s="6">
        <f t="shared" si="23"/>
        <v>0</v>
      </c>
      <c r="AZ113" s="6">
        <f t="shared" si="24"/>
        <v>0</v>
      </c>
      <c r="BA113" s="8"/>
      <c r="BB113" s="6"/>
      <c r="BC113" s="8"/>
      <c r="BD113" s="442">
        <f t="shared" ref="BD113:BI113" si="27">AU113+AU114</f>
        <v>0</v>
      </c>
      <c r="BE113" s="442">
        <f t="shared" si="27"/>
        <v>0</v>
      </c>
      <c r="BF113" s="442">
        <f t="shared" si="27"/>
        <v>0</v>
      </c>
      <c r="BG113" s="442">
        <f t="shared" si="27"/>
        <v>0</v>
      </c>
      <c r="BH113" s="442">
        <f t="shared" si="27"/>
        <v>0</v>
      </c>
      <c r="BI113" s="442">
        <f t="shared" si="27"/>
        <v>0</v>
      </c>
    </row>
    <row r="114" spans="1:61" s="17" customFormat="1" ht="60" x14ac:dyDescent="0.2">
      <c r="A114" s="1197" t="str">
        <f>BIBLE!E53</f>
        <v>PCR01a1</v>
      </c>
      <c r="B114" s="1289" t="str">
        <f>IF(P113&gt;=R113,BIBLE!F53," ")</f>
        <v xml:space="preserve"> </v>
      </c>
      <c r="C114" s="850" t="str">
        <f>BIBLE!O53</f>
        <v xml:space="preserve">Jamais / Rarement / Occasionnellement / Régulièrement / Souvent / Toujours / S.O. </v>
      </c>
      <c r="D114" s="1657">
        <f>BIBLE!L53</f>
        <v>3</v>
      </c>
      <c r="E114" s="279"/>
      <c r="F114" s="851"/>
      <c r="G114" s="851"/>
      <c r="H114" s="851"/>
      <c r="I114" s="851">
        <v>1</v>
      </c>
      <c r="J114" s="851"/>
      <c r="K114" s="851"/>
      <c r="L114" s="851"/>
      <c r="M114" s="279"/>
      <c r="N114" s="279"/>
      <c r="O114" s="279"/>
      <c r="P114" s="1463">
        <f>'TEST_pour PROTOTYPE'!D86</f>
        <v>0</v>
      </c>
      <c r="Q114" s="24">
        <f t="shared" si="14"/>
        <v>0</v>
      </c>
      <c r="R114" s="8"/>
      <c r="S114" s="16"/>
      <c r="T114" s="16"/>
      <c r="U114" s="16"/>
      <c r="V114" s="8"/>
      <c r="W114" s="8"/>
      <c r="X114" s="8"/>
      <c r="Y114" s="8"/>
      <c r="Z114" s="8"/>
      <c r="AA114" s="8"/>
      <c r="AB114" s="8"/>
      <c r="AC114" s="8"/>
      <c r="AD114" s="8"/>
      <c r="AE114" s="449">
        <f>Q114</f>
        <v>0</v>
      </c>
      <c r="AF114" s="1713"/>
      <c r="AG114" s="1713"/>
      <c r="AH114" s="22"/>
      <c r="AI114" s="22"/>
      <c r="AJ114" s="22"/>
      <c r="AK114" s="1238"/>
      <c r="AL114" s="1238"/>
      <c r="AM114" s="1238"/>
      <c r="AN114" s="1238"/>
      <c r="AO114" s="1238"/>
      <c r="AP114" s="1238"/>
      <c r="AQ114" s="1238"/>
      <c r="AR114" s="1238"/>
      <c r="AS114" s="6">
        <f>Q114</f>
        <v>0</v>
      </c>
      <c r="AT114" s="16"/>
      <c r="AU114" s="6">
        <f t="shared" si="26"/>
        <v>0</v>
      </c>
      <c r="AV114" s="6">
        <f t="shared" si="20"/>
        <v>0</v>
      </c>
      <c r="AW114" s="6">
        <f t="shared" si="21"/>
        <v>0</v>
      </c>
      <c r="AX114" s="6">
        <f t="shared" si="22"/>
        <v>0</v>
      </c>
      <c r="AY114" s="6">
        <f t="shared" si="23"/>
        <v>0</v>
      </c>
      <c r="AZ114" s="6">
        <f t="shared" si="24"/>
        <v>0</v>
      </c>
      <c r="BA114" s="8"/>
      <c r="BB114" s="8"/>
      <c r="BC114" s="8"/>
    </row>
    <row r="115" spans="1:61" s="7" customFormat="1" ht="17" x14ac:dyDescent="0.2">
      <c r="A115" s="1197" t="str">
        <f>BIBLE!E54</f>
        <v>PCR01b</v>
      </c>
      <c r="B115" s="103" t="str">
        <f>IF(P$112&gt;=R$112,BIBLE!F54," ")</f>
        <v xml:space="preserve"> </v>
      </c>
      <c r="C115" s="69"/>
      <c r="D115" s="1657"/>
      <c r="E115" s="20"/>
      <c r="F115" s="20"/>
      <c r="G115" s="20"/>
      <c r="H115" s="20"/>
      <c r="I115" s="20"/>
      <c r="J115" s="20"/>
      <c r="K115" s="20"/>
      <c r="L115" s="20"/>
      <c r="M115" s="20"/>
      <c r="N115" s="20"/>
      <c r="O115" s="1559" t="s">
        <v>1293</v>
      </c>
      <c r="P115" s="24">
        <f>SUM(P116:P121)</f>
        <v>0</v>
      </c>
      <c r="Q115" s="24"/>
      <c r="R115" s="8"/>
      <c r="V115" s="8"/>
      <c r="X115" s="8"/>
      <c r="Y115" s="8"/>
      <c r="Z115" s="8"/>
      <c r="AA115" s="8"/>
      <c r="AB115" s="8"/>
      <c r="AC115" s="8"/>
      <c r="AE115" s="477"/>
      <c r="AF115" s="38"/>
      <c r="AG115" s="38"/>
      <c r="AH115" s="22"/>
      <c r="AI115" s="22"/>
      <c r="AJ115" s="22"/>
      <c r="AK115" s="683"/>
      <c r="AL115" s="683"/>
      <c r="AM115" s="683"/>
      <c r="AN115" s="683"/>
      <c r="AO115" s="683"/>
      <c r="AP115" s="683"/>
      <c r="AQ115" s="683"/>
      <c r="AR115" s="683"/>
    </row>
    <row r="116" spans="1:61" s="7" customFormat="1" ht="15" customHeight="1" x14ac:dyDescent="0.2">
      <c r="A116" s="1558"/>
      <c r="B116" s="282" t="str">
        <f>IF(P$112&gt;=R$112,"Nutrition"," ")</f>
        <v xml:space="preserve"> </v>
      </c>
      <c r="C116" s="69"/>
      <c r="D116" s="1459">
        <v>1</v>
      </c>
      <c r="E116" s="1475">
        <f>'TEST_pour PROTOTYPE'!D87</f>
        <v>0</v>
      </c>
      <c r="F116" s="20"/>
      <c r="G116" s="20"/>
      <c r="H116" s="20"/>
      <c r="I116" s="20"/>
      <c r="J116" s="20"/>
      <c r="K116" s="20"/>
      <c r="L116" s="20"/>
      <c r="M116" s="20"/>
      <c r="N116" s="20"/>
      <c r="O116" s="20"/>
      <c r="P116" s="1472">
        <f>D116*E116</f>
        <v>0</v>
      </c>
      <c r="Q116" s="24"/>
      <c r="R116" s="8"/>
      <c r="V116" s="8"/>
      <c r="X116" s="8"/>
      <c r="Y116" s="8"/>
      <c r="Z116" s="8"/>
      <c r="AA116" s="8"/>
      <c r="AB116" s="8"/>
      <c r="AC116" s="8"/>
      <c r="AE116" s="477"/>
      <c r="AF116" s="38"/>
      <c r="AG116" s="38"/>
      <c r="AH116" s="22"/>
      <c r="AI116" s="22"/>
      <c r="AJ116" s="22"/>
      <c r="AK116" s="683"/>
      <c r="AL116" s="683"/>
      <c r="AM116" s="683"/>
      <c r="AN116" s="683"/>
      <c r="AO116" s="683"/>
      <c r="AP116" s="683"/>
      <c r="AQ116" s="683"/>
      <c r="AR116" s="683"/>
    </row>
    <row r="117" spans="1:61" s="7" customFormat="1" ht="15" customHeight="1" x14ac:dyDescent="0.2">
      <c r="A117" s="2521"/>
      <c r="B117" s="282" t="str">
        <f>IF(P$112&gt;=R$112,"Gestion du temps de garde"," ")</f>
        <v xml:space="preserve"> </v>
      </c>
      <c r="C117" s="69"/>
      <c r="D117" s="1459">
        <v>2</v>
      </c>
      <c r="E117" s="1475">
        <f>'TEST_pour PROTOTYPE'!D88</f>
        <v>0</v>
      </c>
      <c r="F117" s="20"/>
      <c r="G117" s="20"/>
      <c r="H117" s="20"/>
      <c r="I117" s="20"/>
      <c r="J117" s="20"/>
      <c r="K117" s="20"/>
      <c r="L117" s="20"/>
      <c r="M117" s="20"/>
      <c r="N117" s="20"/>
      <c r="O117" s="20"/>
      <c r="P117" s="1472">
        <f t="shared" ref="P117:P121" si="28">D117*E117</f>
        <v>0</v>
      </c>
      <c r="Q117" s="24"/>
      <c r="R117" s="8"/>
      <c r="V117" s="8"/>
      <c r="X117" s="8"/>
      <c r="Y117" s="8"/>
      <c r="Z117" s="8"/>
      <c r="AA117" s="8"/>
      <c r="AB117" s="8"/>
      <c r="AC117" s="8"/>
      <c r="AE117" s="477"/>
      <c r="AF117" s="38"/>
      <c r="AG117" s="38"/>
      <c r="AH117" s="22"/>
      <c r="AI117" s="22"/>
      <c r="AJ117" s="22"/>
      <c r="AK117" s="683"/>
      <c r="AL117" s="683"/>
      <c r="AM117" s="683"/>
      <c r="AN117" s="683"/>
      <c r="AO117" s="683"/>
      <c r="AP117" s="683"/>
      <c r="AQ117" s="683"/>
      <c r="AR117" s="683"/>
    </row>
    <row r="118" spans="1:61" s="7" customFormat="1" ht="15" customHeight="1" x14ac:dyDescent="0.2">
      <c r="A118" s="2521"/>
      <c r="B118" s="282" t="str">
        <f>IF(P$112&gt;=R$112,"Questions d'argent"," ")</f>
        <v xml:space="preserve"> </v>
      </c>
      <c r="C118" s="69"/>
      <c r="D118" s="1459">
        <v>3</v>
      </c>
      <c r="E118" s="1475">
        <f>'TEST_pour PROTOTYPE'!D89</f>
        <v>0</v>
      </c>
      <c r="F118" s="20"/>
      <c r="G118" s="20"/>
      <c r="H118" s="20"/>
      <c r="I118" s="20"/>
      <c r="J118" s="20"/>
      <c r="K118" s="20"/>
      <c r="L118" s="20"/>
      <c r="M118" s="20"/>
      <c r="N118" s="20"/>
      <c r="O118" s="20"/>
      <c r="P118" s="1472">
        <f t="shared" si="28"/>
        <v>0</v>
      </c>
      <c r="Q118" s="24"/>
      <c r="R118" s="8"/>
      <c r="V118" s="8"/>
      <c r="X118" s="8"/>
      <c r="Y118" s="8"/>
      <c r="Z118" s="8"/>
      <c r="AA118" s="8"/>
      <c r="AB118" s="8"/>
      <c r="AC118" s="8"/>
      <c r="AE118" s="477"/>
      <c r="AF118" s="38"/>
      <c r="AG118" s="38"/>
      <c r="AH118" s="22"/>
      <c r="AI118" s="22"/>
      <c r="AJ118" s="22"/>
      <c r="AK118" s="683"/>
      <c r="AL118" s="683"/>
      <c r="AM118" s="683"/>
      <c r="AN118" s="683"/>
      <c r="AO118" s="683"/>
      <c r="AP118" s="683"/>
      <c r="AQ118" s="683"/>
      <c r="AR118" s="683"/>
    </row>
    <row r="119" spans="1:61" s="7" customFormat="1" ht="15" customHeight="1" x14ac:dyDescent="0.2">
      <c r="A119" s="1558"/>
      <c r="B119" s="283" t="str">
        <f>IF(P112&gt;=R112,"Accompagnement des devoirs","")</f>
        <v/>
      </c>
      <c r="C119" s="69"/>
      <c r="D119" s="1459">
        <v>4</v>
      </c>
      <c r="E119" s="1475">
        <f>'TEST_pour PROTOTYPE'!D90</f>
        <v>0</v>
      </c>
      <c r="F119" s="20"/>
      <c r="G119" s="20"/>
      <c r="H119" s="20"/>
      <c r="I119" s="20"/>
      <c r="J119" s="20"/>
      <c r="K119" s="20"/>
      <c r="L119" s="20"/>
      <c r="M119" s="20"/>
      <c r="N119" s="20"/>
      <c r="O119" s="20"/>
      <c r="P119" s="1472">
        <f t="shared" si="28"/>
        <v>0</v>
      </c>
      <c r="Q119" s="24"/>
      <c r="R119" s="8"/>
      <c r="V119" s="8"/>
      <c r="X119" s="8"/>
      <c r="Y119" s="8"/>
      <c r="Z119" s="8"/>
      <c r="AA119" s="8"/>
      <c r="AB119" s="8"/>
      <c r="AC119" s="8"/>
      <c r="AE119" s="477"/>
      <c r="AF119" s="38"/>
      <c r="AG119" s="38"/>
      <c r="AH119" s="69"/>
      <c r="AI119" s="69"/>
      <c r="AJ119" s="69"/>
      <c r="AK119" s="683"/>
      <c r="AL119" s="683"/>
      <c r="AM119" s="683"/>
      <c r="AN119" s="683"/>
      <c r="AO119" s="683"/>
      <c r="AP119" s="683"/>
      <c r="AQ119" s="683"/>
      <c r="AR119" s="683"/>
    </row>
    <row r="120" spans="1:61" s="7" customFormat="1" ht="15" customHeight="1" x14ac:dyDescent="0.2">
      <c r="A120" s="2522"/>
      <c r="B120" s="283" t="str">
        <f>IF(P112&gt;=R112,"Gestion des vêtements","")</f>
        <v/>
      </c>
      <c r="C120" s="69"/>
      <c r="D120" s="1459">
        <v>5</v>
      </c>
      <c r="E120" s="1475">
        <f>'TEST_pour PROTOTYPE'!D91</f>
        <v>0</v>
      </c>
      <c r="F120" s="20"/>
      <c r="G120" s="20"/>
      <c r="H120" s="20"/>
      <c r="I120" s="20"/>
      <c r="J120" s="20"/>
      <c r="K120" s="20"/>
      <c r="L120" s="20"/>
      <c r="M120" s="20"/>
      <c r="N120" s="20"/>
      <c r="O120" s="20"/>
      <c r="P120" s="1472">
        <f t="shared" si="28"/>
        <v>0</v>
      </c>
      <c r="Q120" s="24"/>
      <c r="R120" s="8"/>
      <c r="V120" s="8"/>
      <c r="X120" s="8"/>
      <c r="Y120" s="8"/>
      <c r="Z120" s="8"/>
      <c r="AA120" s="8"/>
      <c r="AB120" s="8"/>
      <c r="AC120" s="8"/>
      <c r="AE120" s="477"/>
      <c r="AF120" s="38"/>
      <c r="AG120" s="38"/>
      <c r="AH120" s="69"/>
      <c r="AI120" s="69"/>
      <c r="AJ120" s="69"/>
      <c r="AK120" s="683"/>
      <c r="AL120" s="683"/>
      <c r="AM120" s="683"/>
      <c r="AN120" s="683"/>
      <c r="AO120" s="683"/>
      <c r="AP120" s="683"/>
      <c r="AQ120" s="683"/>
      <c r="AR120" s="683"/>
    </row>
    <row r="121" spans="1:61" s="7" customFormat="1" ht="15" customHeight="1" x14ac:dyDescent="0.2">
      <c r="A121" s="2522"/>
      <c r="B121" s="283" t="str">
        <f>IF(P112&gt;=R112,"Choix des activités culturelles ou sportives","")</f>
        <v/>
      </c>
      <c r="C121" s="69"/>
      <c r="D121" s="1459">
        <v>6</v>
      </c>
      <c r="E121" s="1475">
        <f>'TEST_pour PROTOTYPE'!D92</f>
        <v>0</v>
      </c>
      <c r="F121" s="20"/>
      <c r="G121" s="20"/>
      <c r="H121" s="20"/>
      <c r="I121" s="20"/>
      <c r="J121" s="20"/>
      <c r="K121" s="20"/>
      <c r="L121" s="20"/>
      <c r="M121" s="20"/>
      <c r="N121" s="20"/>
      <c r="O121" s="20"/>
      <c r="P121" s="1472">
        <f t="shared" si="28"/>
        <v>0</v>
      </c>
      <c r="Q121" s="24"/>
      <c r="R121" s="8"/>
      <c r="V121" s="8"/>
      <c r="X121" s="8"/>
      <c r="Y121" s="8"/>
      <c r="Z121" s="8"/>
      <c r="AA121" s="8"/>
      <c r="AB121" s="8"/>
      <c r="AC121" s="8"/>
      <c r="AE121" s="477"/>
      <c r="AF121" s="38"/>
      <c r="AG121" s="38"/>
      <c r="AH121" s="69"/>
      <c r="AI121" s="69"/>
      <c r="AJ121" s="69"/>
      <c r="AK121" s="683"/>
      <c r="AL121" s="683"/>
      <c r="AM121" s="683"/>
      <c r="AN121" s="683"/>
      <c r="AO121" s="683"/>
      <c r="AP121" s="683"/>
      <c r="AQ121" s="683"/>
      <c r="AR121" s="683"/>
    </row>
    <row r="122" spans="1:61" s="7" customFormat="1" ht="15" customHeight="1" x14ac:dyDescent="0.2">
      <c r="A122" s="2522"/>
      <c r="B122" s="283" t="str">
        <f>IF(P112&gt;=R112,"Autre (spécifiez)","")</f>
        <v/>
      </c>
      <c r="C122" s="69"/>
      <c r="D122" s="1459" t="s">
        <v>1169</v>
      </c>
      <c r="E122" s="1475"/>
      <c r="F122" s="20"/>
      <c r="G122" s="20"/>
      <c r="H122" s="20"/>
      <c r="I122" s="20"/>
      <c r="J122" s="20"/>
      <c r="K122" s="20"/>
      <c r="L122" s="20"/>
      <c r="M122" s="20"/>
      <c r="N122" s="20"/>
      <c r="O122" s="20"/>
      <c r="P122" s="1472"/>
      <c r="Q122" s="24"/>
      <c r="R122" s="8"/>
      <c r="V122" s="8"/>
      <c r="X122" s="8"/>
      <c r="Y122" s="8"/>
      <c r="Z122" s="8"/>
      <c r="AA122" s="8"/>
      <c r="AB122" s="8"/>
      <c r="AC122" s="8"/>
      <c r="AE122" s="477"/>
      <c r="AF122" s="38"/>
      <c r="AG122" s="38"/>
      <c r="AH122" s="69"/>
      <c r="AI122" s="69"/>
      <c r="AJ122" s="69"/>
      <c r="AK122" s="683"/>
      <c r="AL122" s="683"/>
      <c r="AM122" s="683"/>
      <c r="AN122" s="683"/>
      <c r="AO122" s="683"/>
      <c r="AP122" s="683"/>
      <c r="AQ122" s="683"/>
      <c r="AR122" s="683"/>
    </row>
    <row r="123" spans="1:61" s="17" customFormat="1" ht="75" customHeight="1" x14ac:dyDescent="0.2">
      <c r="A123" s="1197" t="str">
        <f>BIBLE!E55</f>
        <v>PCR02</v>
      </c>
      <c r="B123" s="131" t="str">
        <f>IF(P53&lt;=2,BIBLE!F55," ")</f>
        <v>Vous devez faire des compromis afin d'assurer une bonne entente de garde.</v>
      </c>
      <c r="C123" s="850" t="str">
        <f>BIBLE!O55</f>
        <v xml:space="preserve">Jamais / Rarement / Occasionnellement / Régulièrement / Souvent / Toujours / S.O. </v>
      </c>
      <c r="D123" s="1657">
        <f>BIBLE!L55</f>
        <v>1</v>
      </c>
      <c r="E123" s="20"/>
      <c r="F123" s="851"/>
      <c r="G123" s="851"/>
      <c r="H123" s="851"/>
      <c r="I123" s="851"/>
      <c r="J123" s="851"/>
      <c r="K123" s="851"/>
      <c r="L123" s="851"/>
      <c r="M123" s="20"/>
      <c r="N123" s="20"/>
      <c r="O123" s="20"/>
      <c r="P123" s="1463">
        <f>'TEST_pour PROTOTYPE'!D93</f>
        <v>10</v>
      </c>
      <c r="Q123" s="24">
        <f t="shared" ref="Q123:Q126" si="29">P123*D123</f>
        <v>10</v>
      </c>
      <c r="R123" s="8" t="str">
        <f>IF(BIBLE!K55=0,"",BIBLE!K55)</f>
        <v/>
      </c>
      <c r="V123" s="6">
        <f>Q123</f>
        <v>10</v>
      </c>
      <c r="X123" s="6">
        <f>IF($Q123&gt;0,X$109*$D123,0)</f>
        <v>0</v>
      </c>
      <c r="Y123" s="6">
        <f t="shared" ref="Y123:AC126" si="30">IF($Q123&gt;0,Y$109*$D123,0)</f>
        <v>1</v>
      </c>
      <c r="Z123" s="6">
        <f t="shared" si="30"/>
        <v>2</v>
      </c>
      <c r="AA123" s="6">
        <f t="shared" si="30"/>
        <v>4</v>
      </c>
      <c r="AB123" s="6">
        <f t="shared" si="30"/>
        <v>7</v>
      </c>
      <c r="AC123" s="6">
        <f t="shared" si="30"/>
        <v>10</v>
      </c>
      <c r="AE123" s="478"/>
      <c r="AF123" s="1712"/>
      <c r="AG123" s="1712"/>
      <c r="AH123" s="22">
        <f>$V123*BIBLE!S55</f>
        <v>10</v>
      </c>
      <c r="AI123" s="22">
        <f>$V123*BIBLE!T55</f>
        <v>0</v>
      </c>
      <c r="AJ123" s="22">
        <f>$V123*BIBLE!U55</f>
        <v>0</v>
      </c>
      <c r="AK123" s="1236">
        <f>$V123*BIBLE!W55</f>
        <v>0</v>
      </c>
      <c r="AL123" s="1236">
        <f>$V123*BIBLE!X55</f>
        <v>0</v>
      </c>
      <c r="AM123" s="1236">
        <f>$V123*BIBLE!Y55</f>
        <v>10</v>
      </c>
      <c r="AN123" s="1236">
        <f>$V123*BIBLE!Z55</f>
        <v>0</v>
      </c>
      <c r="AO123" s="1236">
        <f>$V123*BIBLE!AA55</f>
        <v>0</v>
      </c>
      <c r="AP123" s="1236">
        <f>$V123*BIBLE!AB55</f>
        <v>0</v>
      </c>
      <c r="AQ123" s="1236">
        <f>$V123*BIBLE!AC55</f>
        <v>0</v>
      </c>
      <c r="AR123" s="1236">
        <f>$V123*BIBLE!AD55</f>
        <v>0</v>
      </c>
    </row>
    <row r="124" spans="1:61" s="17" customFormat="1" ht="59" customHeight="1" x14ac:dyDescent="0.2">
      <c r="A124" s="1197" t="str">
        <f>BIBLE!E56</f>
        <v>PCR03</v>
      </c>
      <c r="B124" s="272" t="str">
        <f>BIBLE!F56</f>
        <v xml:space="preserve">Vous saluez ou allez vers l'autre parent lors de changements de garde, à l'école ou lors d'événements culturels ou sportifs. </v>
      </c>
      <c r="C124" s="463" t="str">
        <f>BIBLE!O56</f>
        <v>Toujours / Souvent / Régulièrement / Occasionnellement / Rarement / Jamais / S.O.</v>
      </c>
      <c r="D124" s="1657">
        <f>BIBLE!L56</f>
        <v>1</v>
      </c>
      <c r="E124" s="279"/>
      <c r="F124" s="279"/>
      <c r="G124" s="279"/>
      <c r="H124" s="279">
        <v>1</v>
      </c>
      <c r="I124" s="279"/>
      <c r="J124" s="279"/>
      <c r="K124" s="279"/>
      <c r="L124" s="279"/>
      <c r="M124" s="279"/>
      <c r="N124" s="279"/>
      <c r="O124" s="279"/>
      <c r="P124" s="1463">
        <f>'TEST_pour PROTOTYPE'!D94</f>
        <v>1</v>
      </c>
      <c r="Q124" s="24">
        <f t="shared" si="29"/>
        <v>1</v>
      </c>
      <c r="R124" s="8" t="str">
        <f>IF(BIBLE!K56=0,"",BIBLE!K56)</f>
        <v/>
      </c>
      <c r="V124" s="6">
        <f>Q124</f>
        <v>1</v>
      </c>
      <c r="X124" s="6">
        <f>IF($Q124&gt;0,X$109*$D124,0)</f>
        <v>0</v>
      </c>
      <c r="Y124" s="6">
        <f t="shared" si="30"/>
        <v>1</v>
      </c>
      <c r="Z124" s="6">
        <f t="shared" si="30"/>
        <v>2</v>
      </c>
      <c r="AA124" s="6">
        <f t="shared" si="30"/>
        <v>4</v>
      </c>
      <c r="AB124" s="6">
        <f t="shared" si="30"/>
        <v>7</v>
      </c>
      <c r="AC124" s="6">
        <f t="shared" si="30"/>
        <v>10</v>
      </c>
      <c r="AE124" s="478"/>
      <c r="AF124" s="1712"/>
      <c r="AG124" s="1712"/>
      <c r="AH124" s="22">
        <f>$V124*BIBLE!S56</f>
        <v>1</v>
      </c>
      <c r="AI124" s="22">
        <f>$V124*BIBLE!T56</f>
        <v>0</v>
      </c>
      <c r="AJ124" s="22">
        <f>$V124*BIBLE!U56</f>
        <v>0</v>
      </c>
      <c r="AK124" s="1236">
        <f>$V124*BIBLE!W56</f>
        <v>0</v>
      </c>
      <c r="AL124" s="1236">
        <f>$V124*BIBLE!X56</f>
        <v>0</v>
      </c>
      <c r="AM124" s="1236">
        <f>$V124*BIBLE!Y56</f>
        <v>1</v>
      </c>
      <c r="AN124" s="1236">
        <f>$V124*BIBLE!Z56</f>
        <v>0</v>
      </c>
      <c r="AO124" s="1236">
        <f>$V124*BIBLE!AA56</f>
        <v>0</v>
      </c>
      <c r="AP124" s="1236">
        <f>$V124*BIBLE!AB56</f>
        <v>0</v>
      </c>
      <c r="AQ124" s="1236">
        <f>$V124*BIBLE!AC56</f>
        <v>0</v>
      </c>
      <c r="AR124" s="1236">
        <f>$V124*BIBLE!AD56</f>
        <v>0</v>
      </c>
    </row>
    <row r="125" spans="1:61" s="17" customFormat="1" ht="67" customHeight="1" x14ac:dyDescent="0.2">
      <c r="A125" s="1197" t="str">
        <f>BIBLE!E57</f>
        <v>PCR04</v>
      </c>
      <c r="B125" s="272" t="str">
        <f>BIBLE!F57</f>
        <v>Vous questionnez votre enfant à son retour de garde afin de connaître la routine (repas, dodo, activités, etc.) chez l'autre parent.</v>
      </c>
      <c r="C125" s="463" t="str">
        <f>BIBLE!O57</f>
        <v xml:space="preserve">Jamais / Rarement / Occasionnellement / Régulièrement / Souvent / Toujours / S.O. </v>
      </c>
      <c r="D125" s="1657">
        <f>BIBLE!L57</f>
        <v>1</v>
      </c>
      <c r="E125" s="279"/>
      <c r="F125" s="279"/>
      <c r="G125" s="279"/>
      <c r="H125" s="279"/>
      <c r="I125" s="279">
        <v>1</v>
      </c>
      <c r="J125" s="279"/>
      <c r="K125" s="279"/>
      <c r="L125" s="279"/>
      <c r="M125" s="279"/>
      <c r="N125" s="1995"/>
      <c r="O125" s="279"/>
      <c r="P125" s="1463">
        <f>'TEST_pour PROTOTYPE'!D95</f>
        <v>4</v>
      </c>
      <c r="Q125" s="24">
        <f t="shared" si="29"/>
        <v>4</v>
      </c>
      <c r="R125" s="8" t="str">
        <f>IF(BIBLE!K57=0,"",BIBLE!K57)</f>
        <v/>
      </c>
      <c r="V125" s="6">
        <f>Q125</f>
        <v>4</v>
      </c>
      <c r="X125" s="6">
        <f>IF($Q125&gt;0,X$109*$D125,0)</f>
        <v>0</v>
      </c>
      <c r="Y125" s="6">
        <f t="shared" si="30"/>
        <v>1</v>
      </c>
      <c r="Z125" s="6">
        <f t="shared" si="30"/>
        <v>2</v>
      </c>
      <c r="AA125" s="6">
        <f t="shared" si="30"/>
        <v>4</v>
      </c>
      <c r="AB125" s="6">
        <f t="shared" si="30"/>
        <v>7</v>
      </c>
      <c r="AC125" s="6">
        <f>IF($Q125&gt;0,AC$109*$D125,0)</f>
        <v>10</v>
      </c>
      <c r="AE125" s="478"/>
      <c r="AF125" s="1712"/>
      <c r="AG125" s="1712"/>
      <c r="AH125" s="22">
        <f>$V125*BIBLE!S57</f>
        <v>0</v>
      </c>
      <c r="AI125" s="22">
        <f>$V125*BIBLE!T57</f>
        <v>0</v>
      </c>
      <c r="AJ125" s="22">
        <f>$V125*BIBLE!U57</f>
        <v>4</v>
      </c>
      <c r="AK125" s="1236">
        <f>$V125*BIBLE!W57</f>
        <v>0</v>
      </c>
      <c r="AL125" s="1236">
        <f>$V125*BIBLE!X57</f>
        <v>0</v>
      </c>
      <c r="AM125" s="1236">
        <f>$V125*BIBLE!Y57</f>
        <v>4</v>
      </c>
      <c r="AN125" s="1236">
        <f>$V125*BIBLE!Z57</f>
        <v>0</v>
      </c>
      <c r="AO125" s="1236">
        <f>$V125*BIBLE!AA57</f>
        <v>0</v>
      </c>
      <c r="AP125" s="1236">
        <f>$V125*BIBLE!AB57</f>
        <v>0</v>
      </c>
      <c r="AQ125" s="1236">
        <f>$V125*BIBLE!AC57</f>
        <v>0</v>
      </c>
      <c r="AR125" s="1236">
        <f>$V125*BIBLE!AD57</f>
        <v>0</v>
      </c>
    </row>
    <row r="126" spans="1:61" s="17" customFormat="1" ht="74" customHeight="1" x14ac:dyDescent="0.2">
      <c r="A126" s="1197" t="str">
        <f>BIBLE!E58</f>
        <v>PCR06</v>
      </c>
      <c r="B126" s="272" t="str">
        <f>BIBLE!F58</f>
        <v xml:space="preserve">Vous faites un retour sur les interventions de l'autre parent (nutrition, hygiène, logistique, etc.) au retour des enfants, par courriel ou message texte. </v>
      </c>
      <c r="C126" s="463" t="str">
        <f>BIBLE!O58</f>
        <v xml:space="preserve">Jamais / Rarement / Occasionnellement / Régulièrement / Souvent / Toujours / S.O. </v>
      </c>
      <c r="D126" s="1657">
        <f>BIBLE!L58</f>
        <v>1</v>
      </c>
      <c r="E126" s="279"/>
      <c r="F126" s="279"/>
      <c r="G126" s="279"/>
      <c r="H126" s="279"/>
      <c r="I126" s="279">
        <v>1</v>
      </c>
      <c r="J126" s="279"/>
      <c r="K126" s="279"/>
      <c r="L126" s="279"/>
      <c r="M126" s="279"/>
      <c r="O126" s="279"/>
      <c r="P126" s="1463">
        <f>'TEST_pour PROTOTYPE'!D96</f>
        <v>2</v>
      </c>
      <c r="Q126" s="24">
        <f t="shared" si="29"/>
        <v>2</v>
      </c>
      <c r="R126" s="8">
        <f>IF(BIBLE!K58=0,"",BIBLE!K58)</f>
        <v>2</v>
      </c>
      <c r="V126" s="6">
        <f>Q126</f>
        <v>2</v>
      </c>
      <c r="X126" s="6">
        <f>IF($Q126&gt;0,X$109*$D126,0)</f>
        <v>0</v>
      </c>
      <c r="Y126" s="6">
        <f t="shared" si="30"/>
        <v>1</v>
      </c>
      <c r="Z126" s="6">
        <f t="shared" si="30"/>
        <v>2</v>
      </c>
      <c r="AA126" s="6">
        <f t="shared" si="30"/>
        <v>4</v>
      </c>
      <c r="AB126" s="6">
        <f t="shared" si="30"/>
        <v>7</v>
      </c>
      <c r="AC126" s="6">
        <f t="shared" si="30"/>
        <v>10</v>
      </c>
      <c r="AE126" s="478"/>
      <c r="AF126" s="1712"/>
      <c r="AG126" s="1712"/>
      <c r="AH126" s="22">
        <f>$V126*BIBLE!S58</f>
        <v>2</v>
      </c>
      <c r="AI126" s="22">
        <f>$V126*BIBLE!T58</f>
        <v>0</v>
      </c>
      <c r="AJ126" s="22">
        <f>$V126*BIBLE!U58</f>
        <v>0</v>
      </c>
      <c r="AK126" s="1236">
        <f>$V126*BIBLE!W58</f>
        <v>0</v>
      </c>
      <c r="AL126" s="1236">
        <f>$V126*BIBLE!X58</f>
        <v>0</v>
      </c>
      <c r="AM126" s="1236">
        <f>$V126*BIBLE!Y58</f>
        <v>0</v>
      </c>
      <c r="AN126" s="1236">
        <f>$V126*BIBLE!Z58</f>
        <v>2</v>
      </c>
      <c r="AO126" s="1236">
        <f>$V126*BIBLE!AA58</f>
        <v>0</v>
      </c>
      <c r="AP126" s="1236">
        <f>$V126*BIBLE!AB58</f>
        <v>0</v>
      </c>
      <c r="AQ126" s="1236">
        <f>$V126*BIBLE!AC58</f>
        <v>0</v>
      </c>
      <c r="AR126" s="1236">
        <f>$V126*BIBLE!AD58</f>
        <v>0</v>
      </c>
    </row>
    <row r="127" spans="1:61" s="7" customFormat="1" ht="45" customHeight="1" x14ac:dyDescent="0.2">
      <c r="A127" s="1197" t="str">
        <f>BIBLE!E59</f>
        <v>PCR06a</v>
      </c>
      <c r="B127" s="103" t="str">
        <f>IF(AND(P112&lt;R112,P126&gt;=R126),BIBLE!F59,"")</f>
        <v>Quels sont les sujets de discorde entre vous et l'autre parent ?</v>
      </c>
      <c r="C127" s="69"/>
      <c r="D127" s="1657"/>
      <c r="E127" s="20"/>
      <c r="F127" s="20"/>
      <c r="G127" s="20"/>
      <c r="H127" s="20"/>
      <c r="I127" s="20"/>
      <c r="J127" s="20"/>
      <c r="K127" s="20"/>
      <c r="L127" s="20"/>
      <c r="M127" s="20"/>
      <c r="N127" s="19"/>
      <c r="O127" s="1559" t="s">
        <v>1293</v>
      </c>
      <c r="P127" s="24">
        <f>SUM(P128:P132)</f>
        <v>8</v>
      </c>
      <c r="Q127" s="24"/>
      <c r="R127" s="8"/>
      <c r="V127" s="8"/>
      <c r="X127" s="8"/>
      <c r="Y127" s="8"/>
      <c r="Z127" s="8"/>
      <c r="AA127" s="8"/>
      <c r="AB127" s="8"/>
      <c r="AC127" s="8"/>
      <c r="AE127" s="477"/>
      <c r="AF127" s="38"/>
      <c r="AG127" s="38"/>
      <c r="AH127" s="22"/>
      <c r="AI127" s="22"/>
      <c r="AJ127" s="22"/>
      <c r="AK127" s="683"/>
      <c r="AL127" s="683"/>
      <c r="AM127" s="683"/>
      <c r="AN127" s="683"/>
      <c r="AO127" s="683"/>
      <c r="AP127" s="683"/>
      <c r="AQ127" s="683"/>
      <c r="AR127" s="683"/>
    </row>
    <row r="128" spans="1:61" s="7" customFormat="1" ht="15" customHeight="1" x14ac:dyDescent="0.2">
      <c r="A128" s="1558"/>
      <c r="B128" s="282" t="str">
        <f>IF(AND(P$112&lt;R$112,P$126&gt;=R$126),"Préparation des repas ou boîte à lunch des enfants"," ")</f>
        <v>Préparation des repas ou boîte à lunch des enfants</v>
      </c>
      <c r="C128" s="69"/>
      <c r="D128" s="1459">
        <v>1</v>
      </c>
      <c r="E128" s="1475">
        <f>'TEST_pour PROTOTYPE'!D97</f>
        <v>0</v>
      </c>
      <c r="F128" s="20"/>
      <c r="G128" s="20"/>
      <c r="H128" s="20"/>
      <c r="I128" s="20"/>
      <c r="J128" s="20"/>
      <c r="K128" s="20"/>
      <c r="L128" s="20"/>
      <c r="M128" s="20"/>
      <c r="N128" s="20"/>
      <c r="O128" s="20"/>
      <c r="P128" s="1473">
        <f>D128*E128</f>
        <v>0</v>
      </c>
      <c r="Q128" s="24"/>
      <c r="R128" s="8"/>
      <c r="V128" s="8"/>
      <c r="X128" s="8"/>
      <c r="Y128" s="8"/>
      <c r="Z128" s="8"/>
      <c r="AA128" s="8"/>
      <c r="AB128" s="8"/>
      <c r="AC128" s="8"/>
      <c r="AE128" s="477"/>
      <c r="AF128" s="38"/>
      <c r="AG128" s="38"/>
      <c r="AH128" s="22"/>
      <c r="AI128" s="22"/>
      <c r="AJ128" s="22"/>
      <c r="AK128" s="683"/>
      <c r="AL128" s="683"/>
      <c r="AM128" s="683"/>
      <c r="AN128" s="683"/>
      <c r="AO128" s="683"/>
      <c r="AP128" s="683"/>
      <c r="AQ128" s="683"/>
      <c r="AR128" s="683"/>
    </row>
    <row r="129" spans="1:45" s="7" customFormat="1" ht="15" customHeight="1" x14ac:dyDescent="0.2">
      <c r="A129" s="1558"/>
      <c r="B129" s="283" t="str">
        <f>IF(AND(P$112&lt;R$112,P$126&gt;=R$126),"Accompagnement des devoirs","")</f>
        <v>Accompagnement des devoirs</v>
      </c>
      <c r="C129" s="69"/>
      <c r="D129" s="1459">
        <v>2</v>
      </c>
      <c r="E129" s="1475">
        <f>'TEST_pour PROTOTYPE'!D98</f>
        <v>0</v>
      </c>
      <c r="F129" s="20"/>
      <c r="G129" s="20"/>
      <c r="H129" s="20"/>
      <c r="I129" s="20"/>
      <c r="J129" s="20"/>
      <c r="K129" s="20"/>
      <c r="L129" s="20"/>
      <c r="M129" s="20"/>
      <c r="N129" s="20"/>
      <c r="O129" s="20"/>
      <c r="P129" s="1473">
        <f t="shared" ref="P129:P132" si="31">D129*E129</f>
        <v>0</v>
      </c>
      <c r="Q129" s="24"/>
      <c r="R129" s="8"/>
      <c r="V129" s="8"/>
      <c r="X129" s="8"/>
      <c r="Y129" s="8"/>
      <c r="Z129" s="8"/>
      <c r="AA129" s="8"/>
      <c r="AB129" s="8"/>
      <c r="AC129" s="8"/>
      <c r="AE129" s="477"/>
      <c r="AF129" s="38"/>
      <c r="AG129" s="38"/>
      <c r="AH129" s="69"/>
      <c r="AI129" s="69"/>
      <c r="AJ129" s="69"/>
      <c r="AK129" s="683"/>
      <c r="AL129" s="683"/>
      <c r="AM129" s="683"/>
      <c r="AN129" s="683"/>
      <c r="AO129" s="683"/>
      <c r="AP129" s="683"/>
      <c r="AQ129" s="683"/>
      <c r="AR129" s="683"/>
    </row>
    <row r="130" spans="1:45" s="7" customFormat="1" ht="15" customHeight="1" x14ac:dyDescent="0.2">
      <c r="A130" s="1558"/>
      <c r="B130" s="283" t="str">
        <f>IF(AND(P$112&lt;R$112,P$126&gt;=R$126),"Gestion des vêtements","")</f>
        <v>Gestion des vêtements</v>
      </c>
      <c r="C130" s="69"/>
      <c r="D130" s="1459">
        <v>3</v>
      </c>
      <c r="E130" s="1475">
        <f>'TEST_pour PROTOTYPE'!D99</f>
        <v>1</v>
      </c>
      <c r="F130" s="20"/>
      <c r="G130" s="20"/>
      <c r="H130" s="20"/>
      <c r="I130" s="20"/>
      <c r="J130" s="20"/>
      <c r="K130" s="20"/>
      <c r="L130" s="20"/>
      <c r="M130" s="20"/>
      <c r="N130" s="20"/>
      <c r="O130" s="20"/>
      <c r="P130" s="1473">
        <f t="shared" si="31"/>
        <v>3</v>
      </c>
      <c r="Q130" s="24"/>
      <c r="R130" s="8"/>
      <c r="V130" s="8"/>
      <c r="X130" s="8"/>
      <c r="Y130" s="8"/>
      <c r="Z130" s="8"/>
      <c r="AA130" s="8"/>
      <c r="AB130" s="8"/>
      <c r="AC130" s="8"/>
      <c r="AE130" s="477"/>
      <c r="AF130" s="38"/>
      <c r="AG130" s="38"/>
      <c r="AH130" s="69"/>
      <c r="AI130" s="69"/>
      <c r="AJ130" s="69"/>
      <c r="AK130" s="683"/>
      <c r="AL130" s="683"/>
      <c r="AM130" s="683"/>
      <c r="AN130" s="683"/>
      <c r="AO130" s="683"/>
      <c r="AP130" s="683"/>
      <c r="AQ130" s="683"/>
      <c r="AR130" s="683"/>
    </row>
    <row r="131" spans="1:45" s="7" customFormat="1" ht="15" customHeight="1" x14ac:dyDescent="0.2">
      <c r="A131" s="1558"/>
      <c r="B131" s="283" t="str">
        <f>IF(AND(P$112&lt;R$112,P$126&gt;=R$126),"Choix des activités culturelles ou sportives","")</f>
        <v>Choix des activités culturelles ou sportives</v>
      </c>
      <c r="C131" s="69"/>
      <c r="D131" s="1459">
        <v>4</v>
      </c>
      <c r="E131" s="1475">
        <f>'TEST_pour PROTOTYPE'!D100</f>
        <v>0</v>
      </c>
      <c r="F131" s="20"/>
      <c r="G131" s="20"/>
      <c r="H131" s="20"/>
      <c r="I131" s="20"/>
      <c r="J131" s="20"/>
      <c r="K131" s="20"/>
      <c r="L131" s="20"/>
      <c r="M131" s="20"/>
      <c r="N131" s="20"/>
      <c r="O131" s="20"/>
      <c r="P131" s="1473">
        <f t="shared" si="31"/>
        <v>0</v>
      </c>
      <c r="Q131" s="24"/>
      <c r="R131" s="8"/>
      <c r="V131" s="8"/>
      <c r="X131" s="8"/>
      <c r="Y131" s="8"/>
      <c r="Z131" s="8"/>
      <c r="AA131" s="8"/>
      <c r="AB131" s="8"/>
      <c r="AC131" s="8"/>
      <c r="AE131" s="477"/>
      <c r="AF131" s="38"/>
      <c r="AG131" s="38"/>
      <c r="AH131" s="69"/>
      <c r="AI131" s="69"/>
      <c r="AJ131" s="69"/>
      <c r="AK131" s="683"/>
      <c r="AL131" s="683"/>
      <c r="AM131" s="683"/>
      <c r="AN131" s="683"/>
      <c r="AO131" s="683"/>
      <c r="AP131" s="683"/>
      <c r="AQ131" s="683"/>
      <c r="AR131" s="683"/>
    </row>
    <row r="132" spans="1:45" s="7" customFormat="1" ht="15" customHeight="1" x14ac:dyDescent="0.2">
      <c r="A132" s="1558"/>
      <c r="B132" s="283" t="str">
        <f>IF(AND(P$112&lt;R$112,P$126&gt;=R$126),"Hygiène","")</f>
        <v>Hygiène</v>
      </c>
      <c r="C132" s="69"/>
      <c r="D132" s="1459">
        <v>5</v>
      </c>
      <c r="E132" s="1475">
        <f>'TEST_pour PROTOTYPE'!D101</f>
        <v>1</v>
      </c>
      <c r="F132" s="20"/>
      <c r="G132" s="20"/>
      <c r="H132" s="20"/>
      <c r="I132" s="20"/>
      <c r="J132" s="20"/>
      <c r="K132" s="20"/>
      <c r="L132" s="20"/>
      <c r="M132" s="20"/>
      <c r="N132" s="20"/>
      <c r="O132" s="20"/>
      <c r="P132" s="1473">
        <f t="shared" si="31"/>
        <v>5</v>
      </c>
      <c r="Q132" s="24"/>
      <c r="R132" s="8"/>
      <c r="V132" s="8"/>
      <c r="X132" s="8"/>
      <c r="Y132" s="8"/>
      <c r="Z132" s="8"/>
      <c r="AA132" s="8"/>
      <c r="AB132" s="8"/>
      <c r="AC132" s="8"/>
      <c r="AE132" s="477"/>
      <c r="AF132" s="38"/>
      <c r="AG132" s="38"/>
      <c r="AH132" s="69"/>
      <c r="AI132" s="69"/>
      <c r="AJ132" s="69"/>
      <c r="AK132" s="683"/>
      <c r="AL132" s="683"/>
      <c r="AM132" s="683"/>
      <c r="AN132" s="683"/>
      <c r="AO132" s="683"/>
      <c r="AP132" s="683"/>
      <c r="AQ132" s="683"/>
      <c r="AR132" s="683"/>
    </row>
    <row r="133" spans="1:45" s="7" customFormat="1" ht="15" customHeight="1" x14ac:dyDescent="0.2">
      <c r="A133" s="1558"/>
      <c r="B133" s="283" t="str">
        <f>IF(AND(P$112&lt;R$112,P$126&gt;=R$126),"Autre (spécifiez)","")</f>
        <v>Autre (spécifiez)</v>
      </c>
      <c r="C133" s="69"/>
      <c r="D133" s="1459" t="s">
        <v>1169</v>
      </c>
      <c r="E133" s="1475"/>
      <c r="F133" s="20"/>
      <c r="G133" s="20"/>
      <c r="H133" s="20"/>
      <c r="I133" s="20"/>
      <c r="J133" s="20"/>
      <c r="K133" s="20"/>
      <c r="L133" s="20"/>
      <c r="M133" s="20"/>
      <c r="N133" s="20"/>
      <c r="O133" s="20"/>
      <c r="P133" s="23"/>
      <c r="Q133" s="24"/>
      <c r="R133" s="8"/>
      <c r="V133" s="8"/>
      <c r="X133" s="8"/>
      <c r="Y133" s="8"/>
      <c r="Z133" s="8"/>
      <c r="AA133" s="8"/>
      <c r="AB133" s="8"/>
      <c r="AC133" s="8"/>
      <c r="AE133" s="477"/>
      <c r="AF133" s="38"/>
      <c r="AG133" s="38"/>
      <c r="AH133" s="69"/>
      <c r="AI133" s="69"/>
      <c r="AJ133" s="69"/>
      <c r="AK133" s="683"/>
      <c r="AL133" s="683"/>
      <c r="AM133" s="683"/>
      <c r="AN133" s="683"/>
      <c r="AO133" s="683"/>
      <c r="AP133" s="683"/>
      <c r="AQ133" s="683"/>
      <c r="AR133" s="683"/>
    </row>
    <row r="134" spans="1:45" s="7" customFormat="1" ht="55" customHeight="1" x14ac:dyDescent="0.2">
      <c r="A134" s="1197" t="str">
        <f>BIBLE!E60</f>
        <v>PCR07</v>
      </c>
      <c r="B134" s="272" t="str">
        <f>BIBLE!F60</f>
        <v>Il vous arrive de faire des reproches à l'autre parent devant votre enfant.</v>
      </c>
      <c r="C134" s="463" t="str">
        <f>BIBLE!O60</f>
        <v xml:space="preserve">Jamais / Rarement / Occasionnellement / Régulièrement / Souvent / Toujours / S.O. </v>
      </c>
      <c r="D134" s="1657">
        <f>BIBLE!L60</f>
        <v>1</v>
      </c>
      <c r="E134" s="20"/>
      <c r="F134" s="20"/>
      <c r="G134" s="20"/>
      <c r="H134" s="20">
        <v>1</v>
      </c>
      <c r="I134" s="20"/>
      <c r="J134" s="20"/>
      <c r="K134" s="20"/>
      <c r="L134" s="20"/>
      <c r="M134" s="20"/>
      <c r="N134" s="20"/>
      <c r="O134" s="20"/>
      <c r="P134" s="1463">
        <f>'TEST_pour PROTOTYPE'!D102</f>
        <v>2</v>
      </c>
      <c r="Q134" s="24">
        <f t="shared" ref="Q134:Q140" si="32">P134*D134</f>
        <v>2</v>
      </c>
      <c r="R134" s="8" t="str">
        <f>IF(BIBLE!K60=0,"",BIBLE!K60)</f>
        <v/>
      </c>
      <c r="S134" s="41"/>
      <c r="T134" s="41"/>
      <c r="U134" s="41"/>
      <c r="V134" s="6">
        <f>Q134</f>
        <v>2</v>
      </c>
      <c r="W134" s="41"/>
      <c r="X134" s="6">
        <f t="shared" ref="X134:AC136" si="33">IF($Q134&gt;0,X$109*$D134,0)</f>
        <v>0</v>
      </c>
      <c r="Y134" s="6">
        <f t="shared" si="33"/>
        <v>1</v>
      </c>
      <c r="Z134" s="6">
        <f t="shared" si="33"/>
        <v>2</v>
      </c>
      <c r="AA134" s="6">
        <f t="shared" si="33"/>
        <v>4</v>
      </c>
      <c r="AB134" s="6">
        <f t="shared" si="33"/>
        <v>7</v>
      </c>
      <c r="AC134" s="6">
        <f t="shared" si="33"/>
        <v>10</v>
      </c>
      <c r="AE134" s="477"/>
      <c r="AF134" s="38"/>
      <c r="AG134" s="38"/>
      <c r="AH134" s="22">
        <f>$V134*BIBLE!S60</f>
        <v>0</v>
      </c>
      <c r="AI134" s="22">
        <f>$V134*BIBLE!T60</f>
        <v>0</v>
      </c>
      <c r="AJ134" s="22">
        <f>$V134*BIBLE!U60</f>
        <v>2</v>
      </c>
      <c r="AK134" s="1236">
        <f>$V134*BIBLE!W60</f>
        <v>0</v>
      </c>
      <c r="AL134" s="1236">
        <f>$V134*BIBLE!X60</f>
        <v>0</v>
      </c>
      <c r="AM134" s="1236">
        <f>$V134*BIBLE!Y60</f>
        <v>0</v>
      </c>
      <c r="AN134" s="1236">
        <f>$V134*BIBLE!Z60</f>
        <v>2</v>
      </c>
      <c r="AO134" s="1236">
        <f>$V134*BIBLE!AA60</f>
        <v>0</v>
      </c>
      <c r="AP134" s="1236">
        <f>$V134*BIBLE!AB60</f>
        <v>0</v>
      </c>
      <c r="AQ134" s="1236">
        <f>$V134*BIBLE!AC60</f>
        <v>0</v>
      </c>
      <c r="AR134" s="1236">
        <f>$V134*BIBLE!AD60</f>
        <v>0</v>
      </c>
      <c r="AS134" s="8"/>
    </row>
    <row r="135" spans="1:45" s="7" customFormat="1" ht="55" customHeight="1" x14ac:dyDescent="0.2">
      <c r="A135" s="1197" t="str">
        <f>BIBLE!E61</f>
        <v>PCR08</v>
      </c>
      <c r="B135" s="272" t="str">
        <f>BIBLE!F61</f>
        <v>À quelle fréquence communiquez-vous avec votre enfant lorsqu’il ou elle est chez l‘autre parent ?</v>
      </c>
      <c r="C135" s="463" t="str">
        <f>BIBLE!O61</f>
        <v xml:space="preserve">Jamais / Rarement, au besoin seulement / 1 à 2 fois semaine / 3 à 5 fois semaine / Tous les jours / Plusieurs fois par jour / S.O. </v>
      </c>
      <c r="D135" s="1657">
        <f>IF(AND(Test_Bible!P135&gt;=2,OR($P$27&gt;=3,$E$40&gt;8)),BIBLE!M61,BIBLE!L61)</f>
        <v>3</v>
      </c>
      <c r="E135" s="20"/>
      <c r="F135" s="20"/>
      <c r="G135" s="20"/>
      <c r="H135" s="20"/>
      <c r="I135" s="20">
        <v>1</v>
      </c>
      <c r="J135" s="20"/>
      <c r="K135" s="20"/>
      <c r="L135" s="20"/>
      <c r="M135" s="20"/>
      <c r="N135" s="20"/>
      <c r="O135" s="20"/>
      <c r="P135" s="1463">
        <f>'TEST_pour PROTOTYPE'!D103</f>
        <v>4</v>
      </c>
      <c r="Q135" s="24">
        <f t="shared" si="32"/>
        <v>12</v>
      </c>
      <c r="R135" s="8">
        <f>IF(BIBLE!K61=0,"",BIBLE!K61)</f>
        <v>2</v>
      </c>
      <c r="S135" s="40"/>
      <c r="T135" s="40"/>
      <c r="U135" s="40"/>
      <c r="V135" s="6">
        <f>Q135</f>
        <v>12</v>
      </c>
      <c r="W135" s="40"/>
      <c r="X135" s="6">
        <f t="shared" si="33"/>
        <v>0</v>
      </c>
      <c r="Y135" s="6">
        <f t="shared" si="33"/>
        <v>3</v>
      </c>
      <c r="Z135" s="6">
        <f t="shared" si="33"/>
        <v>6</v>
      </c>
      <c r="AA135" s="6">
        <f t="shared" si="33"/>
        <v>12</v>
      </c>
      <c r="AB135" s="6">
        <f t="shared" si="33"/>
        <v>21</v>
      </c>
      <c r="AC135" s="6">
        <f t="shared" si="33"/>
        <v>30</v>
      </c>
      <c r="AE135" s="477"/>
      <c r="AF135" s="38"/>
      <c r="AG135" s="38"/>
      <c r="AH135" s="22">
        <f>$V135*BIBLE!S61</f>
        <v>12</v>
      </c>
      <c r="AI135" s="22">
        <f>$V135*BIBLE!T61</f>
        <v>0</v>
      </c>
      <c r="AJ135" s="22">
        <f>$V135*BIBLE!U61</f>
        <v>0</v>
      </c>
      <c r="AK135" s="1236">
        <f>$V135*BIBLE!W61</f>
        <v>0</v>
      </c>
      <c r="AL135" s="1236">
        <f>$V135*BIBLE!X61</f>
        <v>0</v>
      </c>
      <c r="AM135" s="1236">
        <f>$V135*BIBLE!Y61</f>
        <v>0</v>
      </c>
      <c r="AN135" s="1236">
        <f>$V135*BIBLE!Z61</f>
        <v>0</v>
      </c>
      <c r="AO135" s="1236">
        <f>$V135*BIBLE!AA61</f>
        <v>12</v>
      </c>
      <c r="AP135" s="1236">
        <f>$V135*BIBLE!AB61</f>
        <v>0</v>
      </c>
      <c r="AQ135" s="1236">
        <f>$V135*BIBLE!AC61</f>
        <v>0</v>
      </c>
      <c r="AR135" s="1236">
        <f>$V135*BIBLE!AD61</f>
        <v>0</v>
      </c>
    </row>
    <row r="136" spans="1:45" s="7" customFormat="1" ht="66" customHeight="1" x14ac:dyDescent="0.2">
      <c r="A136" s="1197" t="str">
        <f>BIBLE!E62</f>
        <v>PCR09</v>
      </c>
      <c r="B136" s="272" t="str">
        <f>BIBLE!F62</f>
        <v>Vous laissez à votre enfant le droit de choisir la fréquence des visites et le temps qu'il passe chez l'autre parent.</v>
      </c>
      <c r="C136" s="463" t="str">
        <f>BIBLE!O62</f>
        <v xml:space="preserve">Jamais / Rarement / Occasionnellement / Régulièrement / Souvent / Toujours / S.O. </v>
      </c>
      <c r="D136" s="1657">
        <f>IF($E$40&gt;=10,BIBLE!L62,BIBLE!M62)</f>
        <v>3</v>
      </c>
      <c r="E136" s="20"/>
      <c r="F136" s="20"/>
      <c r="G136" s="20"/>
      <c r="H136" s="20">
        <v>1</v>
      </c>
      <c r="I136" s="20"/>
      <c r="J136" s="20"/>
      <c r="K136" s="20"/>
      <c r="L136" s="20"/>
      <c r="M136" s="20"/>
      <c r="N136" s="20"/>
      <c r="O136" s="20"/>
      <c r="P136" s="1463">
        <f>'TEST_pour PROTOTYPE'!D104</f>
        <v>2</v>
      </c>
      <c r="Q136" s="24">
        <f t="shared" si="32"/>
        <v>6</v>
      </c>
      <c r="R136" s="8" t="str">
        <f>IF(BIBLE!K62=0,"",BIBLE!K62)</f>
        <v/>
      </c>
      <c r="S136" s="41"/>
      <c r="T136" s="41"/>
      <c r="U136" s="41"/>
      <c r="V136" s="6">
        <f>Q136</f>
        <v>6</v>
      </c>
      <c r="W136" s="41"/>
      <c r="X136" s="6">
        <f t="shared" si="33"/>
        <v>0</v>
      </c>
      <c r="Y136" s="6">
        <f t="shared" si="33"/>
        <v>3</v>
      </c>
      <c r="Z136" s="6">
        <f t="shared" si="33"/>
        <v>6</v>
      </c>
      <c r="AA136" s="6">
        <f t="shared" si="33"/>
        <v>12</v>
      </c>
      <c r="AB136" s="6">
        <f t="shared" si="33"/>
        <v>21</v>
      </c>
      <c r="AC136" s="6">
        <f t="shared" si="33"/>
        <v>30</v>
      </c>
      <c r="AE136" s="477"/>
      <c r="AF136" s="38"/>
      <c r="AG136" s="38"/>
      <c r="AH136" s="22">
        <f>$V136*BIBLE!S62</f>
        <v>6</v>
      </c>
      <c r="AI136" s="22">
        <f>$V136*BIBLE!T62</f>
        <v>0</v>
      </c>
      <c r="AJ136" s="22">
        <f>$V136*BIBLE!U62</f>
        <v>0</v>
      </c>
      <c r="AK136" s="1236">
        <f>$V136*BIBLE!W62</f>
        <v>0</v>
      </c>
      <c r="AL136" s="1236">
        <f>$V136*BIBLE!X62</f>
        <v>0</v>
      </c>
      <c r="AM136" s="1236">
        <f>$V136*BIBLE!Y62</f>
        <v>0</v>
      </c>
      <c r="AN136" s="1236">
        <f>$V136*BIBLE!Z62</f>
        <v>0</v>
      </c>
      <c r="AO136" s="1236">
        <f>$V136*BIBLE!AA62</f>
        <v>6</v>
      </c>
      <c r="AP136" s="1236">
        <f>$V136*BIBLE!AB62</f>
        <v>0</v>
      </c>
      <c r="AQ136" s="1236">
        <f>$V136*BIBLE!AC62</f>
        <v>0</v>
      </c>
      <c r="AR136" s="1236">
        <f>$V136*BIBLE!AD62</f>
        <v>0</v>
      </c>
    </row>
    <row r="137" spans="1:45" s="7" customFormat="1" ht="47" customHeight="1" x14ac:dyDescent="0.2">
      <c r="A137" s="1197" t="str">
        <f>BIBLE!E63</f>
        <v>PCR19</v>
      </c>
      <c r="B137" s="272" t="str">
        <f>BIBLE!F63</f>
        <v>Dans quelle mesure considérez-vous l'autre parent comme étant votre égal·e sur le plan parental ?</v>
      </c>
      <c r="C137" s="463" t="str">
        <f>BIBLE!O63</f>
        <v>Totalement / Grandement / Moyennement / Un peu / Très peu / Pas du tout / S.O.</v>
      </c>
      <c r="D137" s="1657">
        <f>BIBLE!L63</f>
        <v>1</v>
      </c>
      <c r="E137" s="20"/>
      <c r="F137" s="20"/>
      <c r="G137" s="20"/>
      <c r="H137" s="20"/>
      <c r="I137" s="20">
        <v>1</v>
      </c>
      <c r="J137" s="20"/>
      <c r="K137" s="20"/>
      <c r="L137" s="20"/>
      <c r="M137" s="20"/>
      <c r="N137" s="20"/>
      <c r="O137" s="20"/>
      <c r="P137" s="1463">
        <f>'TEST_pour PROTOTYPE'!D105</f>
        <v>4</v>
      </c>
      <c r="Q137" s="24">
        <f t="shared" si="32"/>
        <v>4</v>
      </c>
      <c r="R137" s="8" t="str">
        <f>IF(BIBLE!K63=0,"",BIBLE!K63)</f>
        <v/>
      </c>
      <c r="S137" s="40"/>
      <c r="T137" s="40"/>
      <c r="U137" s="40"/>
      <c r="V137" s="273"/>
      <c r="W137" s="40"/>
      <c r="X137" s="6"/>
      <c r="Y137" s="6"/>
      <c r="Z137" s="6"/>
      <c r="AA137" s="6"/>
      <c r="AB137" s="6"/>
      <c r="AC137" s="6"/>
      <c r="AE137" s="477"/>
      <c r="AF137" s="38"/>
      <c r="AG137" s="38"/>
      <c r="AH137" s="22">
        <f>$V137*BIBLE!S63</f>
        <v>0</v>
      </c>
      <c r="AI137" s="22">
        <f>$V137*BIBLE!T63</f>
        <v>0</v>
      </c>
      <c r="AJ137" s="22">
        <f>$V137*BIBLE!U63</f>
        <v>0</v>
      </c>
      <c r="AK137" s="1236">
        <f>$V137*BIBLE!W63</f>
        <v>0</v>
      </c>
      <c r="AL137" s="1236">
        <f>$V137*BIBLE!X63</f>
        <v>0</v>
      </c>
      <c r="AM137" s="1236">
        <f>$V137*BIBLE!Y63</f>
        <v>0</v>
      </c>
      <c r="AN137" s="1236">
        <f>$V137*BIBLE!Z63</f>
        <v>0</v>
      </c>
      <c r="AO137" s="1236">
        <f>$V137*BIBLE!AA63</f>
        <v>0</v>
      </c>
      <c r="AP137" s="1236">
        <f>$V137*BIBLE!AB63</f>
        <v>0</v>
      </c>
      <c r="AQ137" s="1236">
        <f>$V137*BIBLE!AC63</f>
        <v>0</v>
      </c>
      <c r="AR137" s="1236">
        <f>$V137*BIBLE!AD63</f>
        <v>0</v>
      </c>
    </row>
    <row r="138" spans="1:45" s="7" customFormat="1" ht="87" customHeight="1" x14ac:dyDescent="0.2">
      <c r="A138" s="1197" t="str">
        <f>BIBLE!E64</f>
        <v>PCR10</v>
      </c>
      <c r="B138" s="272" t="str">
        <f>BIBLE!F64</f>
        <v>Dans quelle mesure acceptez-vous ou êtes-vous serein·e face aux exigences de la coparentalité (logistique horaire, transport, vacances, etc.) ?</v>
      </c>
      <c r="C138" s="463" t="str">
        <f>BIBLE!O64</f>
        <v>Totalement / Grandement / Moyennement / Un peu / Très peu / Pas du tout / S.O.</v>
      </c>
      <c r="D138" s="1657">
        <f>BIBLE!L64</f>
        <v>1</v>
      </c>
      <c r="E138" s="20"/>
      <c r="F138" s="20"/>
      <c r="G138" s="20"/>
      <c r="H138" s="20"/>
      <c r="I138" s="20">
        <v>1</v>
      </c>
      <c r="J138" s="20"/>
      <c r="K138" s="20"/>
      <c r="L138" s="20"/>
      <c r="M138" s="20"/>
      <c r="N138" s="20"/>
      <c r="O138" s="20"/>
      <c r="P138" s="1463">
        <f>'TEST_pour PROTOTYPE'!D106</f>
        <v>1</v>
      </c>
      <c r="Q138" s="24">
        <f t="shared" si="32"/>
        <v>1</v>
      </c>
      <c r="R138" s="8" t="str">
        <f>IF(BIBLE!K64=0,"",BIBLE!K64)</f>
        <v/>
      </c>
      <c r="S138" s="41"/>
      <c r="T138" s="41"/>
      <c r="U138" s="41"/>
      <c r="V138" s="6">
        <f>Q138</f>
        <v>1</v>
      </c>
      <c r="W138" s="41"/>
      <c r="X138" s="6">
        <f t="shared" ref="X138:AC140" si="34">IF($Q138&gt;0,X$109*$D138,0)</f>
        <v>0</v>
      </c>
      <c r="Y138" s="6">
        <f t="shared" si="34"/>
        <v>1</v>
      </c>
      <c r="Z138" s="6">
        <f t="shared" si="34"/>
        <v>2</v>
      </c>
      <c r="AA138" s="6">
        <f t="shared" si="34"/>
        <v>4</v>
      </c>
      <c r="AB138" s="6">
        <f t="shared" si="34"/>
        <v>7</v>
      </c>
      <c r="AC138" s="6">
        <f t="shared" si="34"/>
        <v>10</v>
      </c>
      <c r="AE138" s="477"/>
      <c r="AF138" s="38"/>
      <c r="AG138" s="38"/>
      <c r="AH138" s="22">
        <f>$V138*BIBLE!S64</f>
        <v>0</v>
      </c>
      <c r="AI138" s="22">
        <f>$V138*BIBLE!T64</f>
        <v>1</v>
      </c>
      <c r="AJ138" s="22">
        <f>$V138*BIBLE!U64</f>
        <v>0</v>
      </c>
      <c r="AK138" s="1236">
        <f>$V138*BIBLE!W64</f>
        <v>0</v>
      </c>
      <c r="AL138" s="1236">
        <f>$V138*BIBLE!X64</f>
        <v>0</v>
      </c>
      <c r="AM138" s="1236">
        <f>$V138*BIBLE!Y64</f>
        <v>0</v>
      </c>
      <c r="AN138" s="1236">
        <f>$V138*BIBLE!Z64</f>
        <v>0</v>
      </c>
      <c r="AO138" s="1236">
        <f>$V138*BIBLE!AA64</f>
        <v>0</v>
      </c>
      <c r="AP138" s="1236">
        <f>$V138*BIBLE!AB64</f>
        <v>1</v>
      </c>
      <c r="AQ138" s="1236">
        <f>$V138*BIBLE!AC64</f>
        <v>0</v>
      </c>
      <c r="AR138" s="1236">
        <f>$V138*BIBLE!AD64</f>
        <v>0</v>
      </c>
    </row>
    <row r="139" spans="1:45" s="7" customFormat="1" ht="87" customHeight="1" x14ac:dyDescent="0.2">
      <c r="A139" s="1197" t="str">
        <f>BIBLE!E65</f>
        <v>PCR11</v>
      </c>
      <c r="B139" s="272" t="str">
        <f>BIBLE!F65</f>
        <v>Vous acceptez que les vêtements et/ou jouets de votre enfant se promènent d’une maison à l’autre.</v>
      </c>
      <c r="C139" s="463" t="str">
        <f>BIBLE!O65</f>
        <v>Toujours / Souvent / Régulièrement / Occasionnellement / Rarement / Jamais / S.O.</v>
      </c>
      <c r="D139" s="1657">
        <f>BIBLE!L65</f>
        <v>2</v>
      </c>
      <c r="E139" s="20"/>
      <c r="F139" s="20"/>
      <c r="G139" s="20">
        <v>1</v>
      </c>
      <c r="H139" s="20"/>
      <c r="I139" s="20"/>
      <c r="J139" s="20"/>
      <c r="K139" s="20"/>
      <c r="L139" s="20"/>
      <c r="M139" s="20"/>
      <c r="N139" s="20"/>
      <c r="O139" s="20"/>
      <c r="P139" s="1463">
        <f>'TEST_pour PROTOTYPE'!D107</f>
        <v>1</v>
      </c>
      <c r="Q139" s="24">
        <f t="shared" si="32"/>
        <v>2</v>
      </c>
      <c r="R139" s="8" t="str">
        <f>IF(BIBLE!K65=0,"",BIBLE!K65)</f>
        <v/>
      </c>
      <c r="S139" s="40"/>
      <c r="T139" s="40"/>
      <c r="U139" s="40"/>
      <c r="V139" s="6">
        <f>Q139</f>
        <v>2</v>
      </c>
      <c r="W139" s="40"/>
      <c r="X139" s="6">
        <f t="shared" si="34"/>
        <v>0</v>
      </c>
      <c r="Y139" s="6">
        <f t="shared" si="34"/>
        <v>2</v>
      </c>
      <c r="Z139" s="6">
        <f t="shared" si="34"/>
        <v>4</v>
      </c>
      <c r="AA139" s="6">
        <f t="shared" si="34"/>
        <v>8</v>
      </c>
      <c r="AB139" s="6">
        <f t="shared" si="34"/>
        <v>14</v>
      </c>
      <c r="AC139" s="6">
        <f t="shared" si="34"/>
        <v>20</v>
      </c>
      <c r="AE139" s="477"/>
      <c r="AF139" s="38"/>
      <c r="AG139" s="38"/>
      <c r="AH139" s="22">
        <f>$V139*BIBLE!S65</f>
        <v>2</v>
      </c>
      <c r="AI139" s="22">
        <f>$V139*BIBLE!T65</f>
        <v>0</v>
      </c>
      <c r="AJ139" s="22">
        <f>$V139*BIBLE!U65</f>
        <v>0</v>
      </c>
      <c r="AK139" s="1236">
        <f>$V139*BIBLE!W65</f>
        <v>0</v>
      </c>
      <c r="AL139" s="1236">
        <f>$V139*BIBLE!X65</f>
        <v>0</v>
      </c>
      <c r="AM139" s="1236">
        <f>$V139*BIBLE!Y65</f>
        <v>0</v>
      </c>
      <c r="AN139" s="1236">
        <f>$V139*BIBLE!Z65</f>
        <v>0</v>
      </c>
      <c r="AO139" s="1236">
        <f>$V139*BIBLE!AA65</f>
        <v>0</v>
      </c>
      <c r="AP139" s="1236">
        <f>$V139*BIBLE!AB65</f>
        <v>2</v>
      </c>
      <c r="AQ139" s="1236">
        <f>$V139*BIBLE!AC65</f>
        <v>0</v>
      </c>
      <c r="AR139" s="1236">
        <f>$V139*BIBLE!AD65</f>
        <v>0</v>
      </c>
    </row>
    <row r="140" spans="1:45" s="7" customFormat="1" ht="87" customHeight="1" x14ac:dyDescent="0.2">
      <c r="A140" s="1197" t="str">
        <f>BIBLE!E66</f>
        <v>PCR12</v>
      </c>
      <c r="B140" s="272" t="str">
        <f>BIBLE!F66</f>
        <v>Il vous arrive de prendre des décisions sans consulter l'autre parent.</v>
      </c>
      <c r="C140" s="463" t="str">
        <f>BIBLE!O66</f>
        <v xml:space="preserve">Jamais / Rarement / Occasionnellement / Régulièrement / Souvent / Toujours / S.O. </v>
      </c>
      <c r="D140" s="1657">
        <f>BIBLE!L66</f>
        <v>2</v>
      </c>
      <c r="E140" s="20"/>
      <c r="F140" s="20"/>
      <c r="G140" s="20"/>
      <c r="H140" s="20"/>
      <c r="I140" s="20"/>
      <c r="J140" s="20"/>
      <c r="K140" s="20">
        <v>1</v>
      </c>
      <c r="L140" s="20"/>
      <c r="M140" s="20"/>
      <c r="N140" s="20"/>
      <c r="O140" s="20"/>
      <c r="P140" s="1463">
        <f>'TEST_pour PROTOTYPE'!D108</f>
        <v>2</v>
      </c>
      <c r="Q140" s="24">
        <f t="shared" si="32"/>
        <v>4</v>
      </c>
      <c r="R140" s="8">
        <f>IF(BIBLE!K66=0,"",BIBLE!K66)</f>
        <v>4</v>
      </c>
      <c r="S140" s="41"/>
      <c r="T140" s="41"/>
      <c r="U140" s="41"/>
      <c r="V140" s="6">
        <f>Q140</f>
        <v>4</v>
      </c>
      <c r="W140" s="41"/>
      <c r="X140" s="6">
        <f t="shared" si="34"/>
        <v>0</v>
      </c>
      <c r="Y140" s="6">
        <f t="shared" si="34"/>
        <v>2</v>
      </c>
      <c r="Z140" s="6">
        <f t="shared" si="34"/>
        <v>4</v>
      </c>
      <c r="AA140" s="6">
        <f t="shared" si="34"/>
        <v>8</v>
      </c>
      <c r="AB140" s="6">
        <f t="shared" si="34"/>
        <v>14</v>
      </c>
      <c r="AC140" s="6">
        <f t="shared" si="34"/>
        <v>20</v>
      </c>
      <c r="AE140" s="477"/>
      <c r="AF140" s="38"/>
      <c r="AG140" s="38"/>
      <c r="AH140" s="22">
        <f>$V140*BIBLE!S66</f>
        <v>4</v>
      </c>
      <c r="AI140" s="22">
        <f>$V140*BIBLE!T66</f>
        <v>0</v>
      </c>
      <c r="AJ140" s="22">
        <f>$V140*BIBLE!U66</f>
        <v>0</v>
      </c>
      <c r="AK140" s="1236">
        <f>$V140*BIBLE!W66</f>
        <v>0</v>
      </c>
      <c r="AL140" s="1236">
        <f>$V140*BIBLE!X66</f>
        <v>0</v>
      </c>
      <c r="AM140" s="1236">
        <f>$V140*BIBLE!Y66</f>
        <v>0</v>
      </c>
      <c r="AN140" s="1236">
        <f>$V140*BIBLE!Z66</f>
        <v>0</v>
      </c>
      <c r="AO140" s="1236">
        <f>$V140*BIBLE!AA66</f>
        <v>0</v>
      </c>
      <c r="AP140" s="1236">
        <f>$V140*BIBLE!AB66</f>
        <v>4</v>
      </c>
      <c r="AQ140" s="1236">
        <f>$V140*BIBLE!AC66</f>
        <v>0</v>
      </c>
      <c r="AR140" s="1236">
        <f>$V140*BIBLE!AD66</f>
        <v>0</v>
      </c>
    </row>
    <row r="141" spans="1:45" s="7" customFormat="1" ht="17" x14ac:dyDescent="0.2">
      <c r="A141" s="1197" t="str">
        <f>BIBLE!E67</f>
        <v>PCR12a</v>
      </c>
      <c r="B141" s="103" t="str">
        <f>IF(P140&gt;=R140,BIBLE!F67," ")</f>
        <v xml:space="preserve"> </v>
      </c>
      <c r="C141" s="463"/>
      <c r="D141" s="1659"/>
      <c r="E141" s="1303">
        <f>(D142*E142)+(D143*E143)+(D144*E144)+(D145*E145)+(D146*E146)</f>
        <v>0</v>
      </c>
      <c r="F141" s="20"/>
      <c r="G141" s="20"/>
      <c r="H141" s="20"/>
      <c r="I141" s="20"/>
      <c r="J141" s="20"/>
      <c r="K141" s="20"/>
      <c r="L141" s="20"/>
      <c r="M141" s="20"/>
      <c r="N141" s="20"/>
      <c r="O141" s="1559" t="s">
        <v>1294</v>
      </c>
      <c r="P141" s="24">
        <f>SUM(P142:P147)</f>
        <v>0</v>
      </c>
      <c r="Q141" s="24"/>
      <c r="R141" s="8" t="str">
        <f>IF(BIBLE!K67=0,"",BIBLE!K67)</f>
        <v/>
      </c>
      <c r="S141" s="41"/>
      <c r="T141" s="41"/>
      <c r="U141" s="41"/>
      <c r="V141" s="498"/>
      <c r="W141" s="41"/>
      <c r="X141" s="8"/>
      <c r="Y141" s="8"/>
      <c r="Z141" s="8"/>
      <c r="AA141" s="8"/>
      <c r="AB141" s="8"/>
      <c r="AC141" s="8"/>
      <c r="AE141" s="477"/>
      <c r="AF141" s="38"/>
      <c r="AG141" s="38"/>
      <c r="AH141" s="69"/>
      <c r="AI141" s="69"/>
      <c r="AJ141" s="69"/>
      <c r="AK141" s="683"/>
      <c r="AL141" s="683"/>
      <c r="AM141" s="683"/>
      <c r="AN141" s="683"/>
      <c r="AO141" s="683"/>
      <c r="AP141" s="683"/>
      <c r="AQ141" s="683"/>
      <c r="AR141" s="683"/>
    </row>
    <row r="142" spans="1:45" s="7" customFormat="1" ht="27" customHeight="1" x14ac:dyDescent="0.2">
      <c r="A142" s="1197"/>
      <c r="B142" s="137" t="str">
        <f>IF(P$140&gt;=R$140,"Choix d'école et/ou inscription (primaire et secondaire)","")</f>
        <v/>
      </c>
      <c r="C142" s="557" t="str">
        <f>IF(BIBLE!H53=0,"",BIBLE!H53)</f>
        <v/>
      </c>
      <c r="D142" s="1459">
        <v>7</v>
      </c>
      <c r="E142" s="1477">
        <f>'TEST_pour PROTOTYPE'!D109</f>
        <v>0</v>
      </c>
      <c r="F142" s="20"/>
      <c r="G142" s="20"/>
      <c r="H142" s="20"/>
      <c r="I142" s="20"/>
      <c r="J142" s="20"/>
      <c r="K142" s="20"/>
      <c r="L142" s="20"/>
      <c r="M142" s="20"/>
      <c r="N142" s="20"/>
      <c r="O142" s="20"/>
      <c r="P142" s="1474">
        <f>D142*E142</f>
        <v>0</v>
      </c>
      <c r="Q142" s="24"/>
      <c r="R142" s="8"/>
      <c r="S142" s="41"/>
      <c r="T142" s="41"/>
      <c r="U142" s="41"/>
      <c r="V142" s="498"/>
      <c r="W142" s="41"/>
      <c r="X142" s="8"/>
      <c r="Y142" s="8"/>
      <c r="Z142" s="8"/>
      <c r="AA142" s="8"/>
      <c r="AB142" s="8"/>
      <c r="AC142" s="8"/>
      <c r="AE142" s="477"/>
      <c r="AF142" s="38"/>
      <c r="AG142" s="38"/>
      <c r="AH142" s="69"/>
      <c r="AI142" s="69"/>
      <c r="AJ142" s="69"/>
      <c r="AK142" s="683"/>
      <c r="AL142" s="683"/>
      <c r="AM142" s="683"/>
      <c r="AN142" s="683"/>
      <c r="AO142" s="683"/>
      <c r="AP142" s="683"/>
      <c r="AQ142" s="683"/>
      <c r="AR142" s="683"/>
    </row>
    <row r="143" spans="1:45" s="7" customFormat="1" ht="27" customHeight="1" x14ac:dyDescent="0.2">
      <c r="A143" s="1197"/>
      <c r="B143" s="137" t="str">
        <f>IF(P140&gt;=R140,"Choix de club|programme sportif ou calendrier sportif","")</f>
        <v/>
      </c>
      <c r="C143" s="557" t="str">
        <f>IF(BIBLE!H55=0,"",BIBLE!H55)</f>
        <v/>
      </c>
      <c r="D143" s="1459">
        <v>3</v>
      </c>
      <c r="E143" s="1477">
        <f>'TEST_pour PROTOTYPE'!D110</f>
        <v>0</v>
      </c>
      <c r="F143" s="20"/>
      <c r="G143" s="20"/>
      <c r="H143" s="20"/>
      <c r="I143" s="20"/>
      <c r="J143" s="20"/>
      <c r="K143" s="20"/>
      <c r="L143" s="20"/>
      <c r="M143" s="20"/>
      <c r="N143" s="20"/>
      <c r="O143" s="20"/>
      <c r="P143" s="1474">
        <f t="shared" ref="P143:P147" si="35">D143*E143</f>
        <v>0</v>
      </c>
      <c r="Q143" s="24"/>
      <c r="R143" s="8" t="str">
        <f>IF(BIBLE!K73=0,"",BIBLE!K73)</f>
        <v/>
      </c>
      <c r="S143" s="41"/>
      <c r="T143" s="41"/>
      <c r="U143" s="41"/>
      <c r="V143" s="498"/>
      <c r="W143" s="41"/>
      <c r="X143" s="8"/>
      <c r="Y143" s="8"/>
      <c r="Z143" s="8"/>
      <c r="AA143" s="8"/>
      <c r="AB143" s="8"/>
      <c r="AC143" s="8"/>
      <c r="AE143" s="477"/>
      <c r="AF143" s="38"/>
      <c r="AG143" s="38"/>
      <c r="AH143" s="69"/>
      <c r="AI143" s="69"/>
      <c r="AJ143" s="69"/>
      <c r="AK143" s="683"/>
      <c r="AL143" s="683"/>
      <c r="AM143" s="683"/>
      <c r="AN143" s="683"/>
      <c r="AO143" s="683"/>
      <c r="AP143" s="683"/>
      <c r="AQ143" s="683"/>
      <c r="AR143" s="683"/>
    </row>
    <row r="144" spans="1:45" s="7" customFormat="1" ht="27" customHeight="1" x14ac:dyDescent="0.2">
      <c r="A144" s="1197"/>
      <c r="B144" s="137" t="str">
        <f>IF(P140&gt;=R140,"Soins médicaux ou dentaires","")</f>
        <v/>
      </c>
      <c r="C144" s="557"/>
      <c r="D144" s="1459">
        <v>3</v>
      </c>
      <c r="E144" s="1477">
        <f>'TEST_pour PROTOTYPE'!D111</f>
        <v>0</v>
      </c>
      <c r="F144" s="20"/>
      <c r="G144" s="20"/>
      <c r="H144" s="20"/>
      <c r="I144" s="20"/>
      <c r="J144" s="20"/>
      <c r="K144" s="20"/>
      <c r="L144" s="20"/>
      <c r="M144" s="20"/>
      <c r="N144" s="20"/>
      <c r="O144" s="20"/>
      <c r="P144" s="1474">
        <f t="shared" si="35"/>
        <v>0</v>
      </c>
      <c r="Q144" s="24"/>
      <c r="R144" s="8" t="str">
        <f>IF(BIBLE!K78=0,"",BIBLE!K78)</f>
        <v/>
      </c>
      <c r="S144" s="41"/>
      <c r="T144" s="41"/>
      <c r="U144" s="41"/>
      <c r="V144" s="498"/>
      <c r="W144" s="41"/>
      <c r="X144" s="8"/>
      <c r="Y144" s="8"/>
      <c r="Z144" s="8"/>
      <c r="AA144" s="8"/>
      <c r="AB144" s="8"/>
      <c r="AC144" s="8"/>
      <c r="AE144" s="477"/>
      <c r="AF144" s="38"/>
      <c r="AG144" s="38"/>
      <c r="AH144" s="69"/>
      <c r="AI144" s="69"/>
      <c r="AJ144" s="69"/>
      <c r="AK144" s="683"/>
      <c r="AL144" s="683"/>
      <c r="AM144" s="683"/>
      <c r="AN144" s="683"/>
      <c r="AO144" s="683"/>
      <c r="AP144" s="683"/>
      <c r="AQ144" s="683"/>
      <c r="AR144" s="683"/>
    </row>
    <row r="145" spans="1:44" s="7" customFormat="1" ht="27" customHeight="1" x14ac:dyDescent="0.2">
      <c r="A145" s="1197"/>
      <c r="B145" s="137" t="str">
        <f>IF(P140&gt;=R140,"Déménagement (forçant un changement majeur ou autres)","")</f>
        <v/>
      </c>
      <c r="C145" s="557"/>
      <c r="D145" s="1459">
        <v>10</v>
      </c>
      <c r="E145" s="1477">
        <f>'TEST_pour PROTOTYPE'!D112</f>
        <v>0</v>
      </c>
      <c r="F145" s="20"/>
      <c r="G145" s="20"/>
      <c r="H145" s="20"/>
      <c r="I145" s="20"/>
      <c r="J145" s="20"/>
      <c r="K145" s="20"/>
      <c r="L145" s="20"/>
      <c r="M145" s="20"/>
      <c r="N145" s="20"/>
      <c r="O145" s="20"/>
      <c r="P145" s="1474">
        <f t="shared" si="35"/>
        <v>0</v>
      </c>
      <c r="Q145" s="24"/>
      <c r="R145" s="8" t="str">
        <f>IF(BIBLE!K81=0,"",BIBLE!K81)</f>
        <v/>
      </c>
      <c r="S145" s="41"/>
      <c r="T145" s="41"/>
      <c r="U145" s="41"/>
      <c r="V145" s="498"/>
      <c r="W145" s="41"/>
      <c r="X145" s="8"/>
      <c r="Y145" s="8"/>
      <c r="Z145" s="8"/>
      <c r="AA145" s="8"/>
      <c r="AB145" s="8"/>
      <c r="AC145" s="8"/>
      <c r="AE145" s="477"/>
      <c r="AF145" s="38"/>
      <c r="AG145" s="38"/>
      <c r="AH145" s="69"/>
      <c r="AI145" s="69"/>
      <c r="AJ145" s="69"/>
      <c r="AK145" s="683"/>
      <c r="AL145" s="683"/>
      <c r="AM145" s="683"/>
      <c r="AN145" s="683"/>
      <c r="AO145" s="683"/>
      <c r="AP145" s="683"/>
      <c r="AQ145" s="683"/>
      <c r="AR145" s="683"/>
    </row>
    <row r="146" spans="1:44" s="7" customFormat="1" ht="27" customHeight="1" x14ac:dyDescent="0.2">
      <c r="A146" s="1197"/>
      <c r="B146" s="137" t="str">
        <f>IF(P140&gt;=R140,"Achat d'une valeur significative (auto, animal,…)","")</f>
        <v/>
      </c>
      <c r="C146" s="557"/>
      <c r="D146" s="1459">
        <v>5</v>
      </c>
      <c r="E146" s="1477">
        <f>'TEST_pour PROTOTYPE'!D113</f>
        <v>0</v>
      </c>
      <c r="F146" s="20"/>
      <c r="G146" s="20"/>
      <c r="H146" s="20"/>
      <c r="I146" s="20"/>
      <c r="J146" s="20"/>
      <c r="K146" s="20"/>
      <c r="L146" s="20"/>
      <c r="M146" s="20"/>
      <c r="N146" s="20"/>
      <c r="O146" s="20"/>
      <c r="P146" s="1474">
        <f t="shared" si="35"/>
        <v>0</v>
      </c>
      <c r="Q146" s="24"/>
      <c r="R146" s="8"/>
      <c r="S146" s="41"/>
      <c r="T146" s="41"/>
      <c r="U146" s="41"/>
      <c r="V146" s="498"/>
      <c r="W146" s="41"/>
      <c r="X146" s="8"/>
      <c r="Y146" s="8"/>
      <c r="Z146" s="8"/>
      <c r="AA146" s="8"/>
      <c r="AB146" s="8"/>
      <c r="AC146" s="8"/>
      <c r="AE146" s="477"/>
      <c r="AF146" s="38"/>
      <c r="AG146" s="38"/>
      <c r="AH146" s="69"/>
      <c r="AI146" s="69"/>
      <c r="AJ146" s="69"/>
      <c r="AK146" s="683"/>
      <c r="AL146" s="683"/>
      <c r="AM146" s="683"/>
      <c r="AN146" s="683"/>
      <c r="AO146" s="683"/>
      <c r="AP146" s="683"/>
      <c r="AQ146" s="683"/>
      <c r="AR146" s="683"/>
    </row>
    <row r="147" spans="1:44" s="7" customFormat="1" ht="27" customHeight="1" x14ac:dyDescent="0.2">
      <c r="A147" s="1197"/>
      <c r="B147" s="137" t="str">
        <f>IF(P140&gt;=R140,"Décisions engendrant des coûts significatifs sans votre consentement préalable","")</f>
        <v/>
      </c>
      <c r="C147" s="557"/>
      <c r="D147" s="1459">
        <v>1</v>
      </c>
      <c r="E147" s="1477">
        <f>'TEST_pour PROTOTYPE'!D114</f>
        <v>0</v>
      </c>
      <c r="F147" s="20"/>
      <c r="G147" s="20"/>
      <c r="H147" s="20"/>
      <c r="I147" s="20"/>
      <c r="J147" s="20"/>
      <c r="K147" s="20"/>
      <c r="L147" s="20"/>
      <c r="M147" s="20"/>
      <c r="N147" s="20"/>
      <c r="O147" s="20"/>
      <c r="P147" s="1474">
        <f t="shared" si="35"/>
        <v>0</v>
      </c>
      <c r="Q147" s="24"/>
      <c r="R147" s="8"/>
      <c r="S147" s="41"/>
      <c r="T147" s="41"/>
      <c r="U147" s="41"/>
      <c r="V147" s="498"/>
      <c r="W147" s="41"/>
      <c r="X147" s="8"/>
      <c r="Y147" s="8"/>
      <c r="Z147" s="8"/>
      <c r="AA147" s="8"/>
      <c r="AB147" s="8"/>
      <c r="AC147" s="8"/>
      <c r="AE147" s="477"/>
      <c r="AF147" s="38"/>
      <c r="AG147" s="38"/>
      <c r="AH147" s="69"/>
      <c r="AI147" s="69"/>
      <c r="AJ147" s="69"/>
      <c r="AK147" s="683"/>
      <c r="AL147" s="683"/>
      <c r="AM147" s="683"/>
      <c r="AN147" s="683"/>
      <c r="AO147" s="683"/>
      <c r="AP147" s="683"/>
      <c r="AQ147" s="683"/>
      <c r="AR147" s="683"/>
    </row>
    <row r="148" spans="1:44" s="7" customFormat="1" ht="27" customHeight="1" x14ac:dyDescent="0.2">
      <c r="A148" s="1197"/>
      <c r="B148" s="137" t="str">
        <f>IF(P140&gt;=R140,"Autre (spécifiez)","")</f>
        <v/>
      </c>
      <c r="C148" s="557"/>
      <c r="D148" s="1459" t="s">
        <v>1169</v>
      </c>
      <c r="E148" s="1593"/>
      <c r="F148" s="20"/>
      <c r="G148" s="20"/>
      <c r="H148" s="20"/>
      <c r="I148" s="20"/>
      <c r="J148" s="20"/>
      <c r="K148" s="20"/>
      <c r="L148" s="20"/>
      <c r="M148" s="20"/>
      <c r="N148" s="20"/>
      <c r="O148" s="20"/>
      <c r="P148" s="1474"/>
      <c r="Q148" s="24"/>
      <c r="R148" s="8"/>
      <c r="S148" s="41"/>
      <c r="T148" s="41"/>
      <c r="U148" s="41"/>
      <c r="V148" s="498"/>
      <c r="W148" s="41"/>
      <c r="X148" s="8"/>
      <c r="Y148" s="8"/>
      <c r="Z148" s="8"/>
      <c r="AA148" s="8"/>
      <c r="AB148" s="8"/>
      <c r="AC148" s="8"/>
      <c r="AE148" s="477"/>
      <c r="AF148" s="38"/>
      <c r="AG148" s="38"/>
      <c r="AH148" s="69"/>
      <c r="AI148" s="69"/>
      <c r="AJ148" s="69"/>
      <c r="AK148" s="683"/>
      <c r="AL148" s="683"/>
      <c r="AM148" s="683"/>
      <c r="AN148" s="683"/>
      <c r="AO148" s="683"/>
      <c r="AP148" s="683"/>
      <c r="AQ148" s="683"/>
      <c r="AR148" s="683"/>
    </row>
    <row r="149" spans="1:44" s="8" customFormat="1" ht="73" customHeight="1" x14ac:dyDescent="0.2">
      <c r="A149" s="1197" t="str">
        <f>BIBLE!E68</f>
        <v>PCR13</v>
      </c>
      <c r="B149" s="272" t="str">
        <f>BIBLE!F68</f>
        <v>Le contexte de coparentalité vous contraint à demander à votre enfant de faire les messages et demandes entourant la logistique familiale.</v>
      </c>
      <c r="C149" s="463" t="str">
        <f>BIBLE!O68</f>
        <v xml:space="preserve">Jamais / Rarement / Occasionnellement / Régulièrement / Souvent / Toujours / S.O. </v>
      </c>
      <c r="D149" s="1657">
        <f>IF($E$40&gt;=10,BIBLE!L68,BIBLE!M68)</f>
        <v>3</v>
      </c>
      <c r="E149" s="19"/>
      <c r="F149" s="20"/>
      <c r="G149" s="20"/>
      <c r="H149" s="20"/>
      <c r="I149" s="20"/>
      <c r="J149" s="20">
        <v>1</v>
      </c>
      <c r="K149" s="20"/>
      <c r="L149" s="20"/>
      <c r="M149" s="20"/>
      <c r="N149" s="20"/>
      <c r="O149" s="20"/>
      <c r="P149" s="1463">
        <f>'TEST_pour PROTOTYPE'!D115</f>
        <v>7</v>
      </c>
      <c r="Q149" s="24">
        <f t="shared" ref="Q149:Q154" si="36">P149*D149</f>
        <v>21</v>
      </c>
      <c r="R149" s="8" t="str">
        <f>IF(BIBLE!K68=0,"",BIBLE!K68)</f>
        <v/>
      </c>
      <c r="V149" s="6">
        <f>Q149</f>
        <v>21</v>
      </c>
      <c r="X149" s="6">
        <f t="shared" ref="X149:AC151" si="37">IF($Q149&gt;0,X$109*$D149,0)</f>
        <v>0</v>
      </c>
      <c r="Y149" s="6">
        <f t="shared" si="37"/>
        <v>3</v>
      </c>
      <c r="Z149" s="6">
        <f t="shared" si="37"/>
        <v>6</v>
      </c>
      <c r="AA149" s="6">
        <f t="shared" si="37"/>
        <v>12</v>
      </c>
      <c r="AB149" s="6">
        <f t="shared" si="37"/>
        <v>21</v>
      </c>
      <c r="AC149" s="6">
        <f t="shared" si="37"/>
        <v>30</v>
      </c>
      <c r="AE149" s="476"/>
      <c r="AF149" s="1711"/>
      <c r="AG149" s="1711"/>
      <c r="AH149" s="22">
        <f>$V149*BIBLE!S68</f>
        <v>21</v>
      </c>
      <c r="AI149" s="22">
        <f>$V149*BIBLE!T68</f>
        <v>0</v>
      </c>
      <c r="AJ149" s="22">
        <f>$V149*BIBLE!U68</f>
        <v>0</v>
      </c>
      <c r="AK149" s="1236">
        <f>$V149*BIBLE!W68</f>
        <v>0</v>
      </c>
      <c r="AL149" s="1236">
        <f>$V149*BIBLE!X68</f>
        <v>0</v>
      </c>
      <c r="AM149" s="1236">
        <f>$V149*BIBLE!Y68</f>
        <v>0</v>
      </c>
      <c r="AN149" s="1236">
        <f>$V149*BIBLE!Z68</f>
        <v>0</v>
      </c>
      <c r="AO149" s="1236">
        <f>$V149*BIBLE!AA68</f>
        <v>0</v>
      </c>
      <c r="AP149" s="1236">
        <f>$V149*BIBLE!AB68</f>
        <v>0</v>
      </c>
      <c r="AQ149" s="1236">
        <f>$V149*BIBLE!AC68</f>
        <v>21</v>
      </c>
      <c r="AR149" s="1236">
        <f>$V149*BIBLE!AD68</f>
        <v>0</v>
      </c>
    </row>
    <row r="150" spans="1:44" s="8" customFormat="1" ht="73" customHeight="1" x14ac:dyDescent="0.2">
      <c r="A150" s="1197" t="str">
        <f>BIBLE!E69</f>
        <v>PCR14</v>
      </c>
      <c r="B150" s="272" t="str">
        <f>BIBLE!F69</f>
        <v>Un enfant de 12 ans est assez mature pour choisir où et avec qui il veut vivre.</v>
      </c>
      <c r="C150" s="463" t="str">
        <f>BIBLE!O69</f>
        <v>Tout à fait en désaccord / En désaccord /  Partiellement en désaccord /  Partiellement d’accord / D’accord / Tout à fait d’accord / S.O.</v>
      </c>
      <c r="D150" s="1657">
        <f>IF($E$40&gt;=11,BIBLE!L69,BIBLE!M69)</f>
        <v>3</v>
      </c>
      <c r="E150" s="20"/>
      <c r="F150" s="20"/>
      <c r="G150" s="20"/>
      <c r="H150" s="20"/>
      <c r="I150" s="20"/>
      <c r="J150" s="20">
        <v>1</v>
      </c>
      <c r="K150" s="20"/>
      <c r="L150" s="20"/>
      <c r="M150" s="20"/>
      <c r="N150" s="20"/>
      <c r="O150" s="20"/>
      <c r="P150" s="1463">
        <f>'TEST_pour PROTOTYPE'!D116</f>
        <v>1</v>
      </c>
      <c r="Q150" s="24">
        <f t="shared" si="36"/>
        <v>3</v>
      </c>
      <c r="R150" s="8" t="str">
        <f>IF(BIBLE!K69=0,"",BIBLE!K69)</f>
        <v/>
      </c>
      <c r="V150" s="6">
        <f>Q150</f>
        <v>3</v>
      </c>
      <c r="X150" s="6">
        <f t="shared" si="37"/>
        <v>0</v>
      </c>
      <c r="Y150" s="6">
        <f t="shared" si="37"/>
        <v>3</v>
      </c>
      <c r="Z150" s="6">
        <f t="shared" si="37"/>
        <v>6</v>
      </c>
      <c r="AA150" s="6">
        <f t="shared" si="37"/>
        <v>12</v>
      </c>
      <c r="AB150" s="6">
        <f t="shared" si="37"/>
        <v>21</v>
      </c>
      <c r="AC150" s="6">
        <f t="shared" si="37"/>
        <v>30</v>
      </c>
      <c r="AE150" s="476"/>
      <c r="AF150" s="1711"/>
      <c r="AG150" s="1711"/>
      <c r="AH150" s="22">
        <f>$V150*BIBLE!S69</f>
        <v>3</v>
      </c>
      <c r="AI150" s="22">
        <f>$V150*BIBLE!T69</f>
        <v>0</v>
      </c>
      <c r="AJ150" s="22">
        <f>$V150*BIBLE!U69</f>
        <v>0</v>
      </c>
      <c r="AK150" s="1236">
        <f>$V150*BIBLE!W69</f>
        <v>0</v>
      </c>
      <c r="AL150" s="1236">
        <f>$V150*BIBLE!X69</f>
        <v>0</v>
      </c>
      <c r="AM150" s="1236">
        <f>$V150*BIBLE!Y69</f>
        <v>0</v>
      </c>
      <c r="AN150" s="1236">
        <f>$V150*BIBLE!Z69</f>
        <v>0</v>
      </c>
      <c r="AO150" s="1236">
        <f>$V150*BIBLE!AA69</f>
        <v>0</v>
      </c>
      <c r="AP150" s="1236">
        <f>$V150*BIBLE!AB69</f>
        <v>0</v>
      </c>
      <c r="AQ150" s="1236">
        <f>$V150*BIBLE!AC69</f>
        <v>3</v>
      </c>
      <c r="AR150" s="1236">
        <f>$V150*BIBLE!AD69</f>
        <v>0</v>
      </c>
    </row>
    <row r="151" spans="1:44" s="8" customFormat="1" ht="73" customHeight="1" x14ac:dyDescent="0.2">
      <c r="A151" s="1197" t="str">
        <f>BIBLE!E70</f>
        <v>PCR15</v>
      </c>
      <c r="B151" s="272" t="str">
        <f>BIBLE!F70</f>
        <v>Il est important que votre enfant soit au courant des enjeux de la séparation et/ou du conflit qui vous oppose à l'autre parent.</v>
      </c>
      <c r="C151" s="463" t="str">
        <f>BIBLE!O70</f>
        <v>Tout à fait en désaccord / En désaccord /  Partiellement en désaccord /  Partiellement d’accord / D’accord / Tout à fait d’accord / S.O.</v>
      </c>
      <c r="D151" s="1657">
        <f>IF($E$40&gt;=12,BIBLE!L70,BIBLE!M70)</f>
        <v>3</v>
      </c>
      <c r="E151" s="20"/>
      <c r="F151" s="20"/>
      <c r="G151" s="20"/>
      <c r="H151" s="20"/>
      <c r="I151" s="20"/>
      <c r="J151" s="20">
        <v>1</v>
      </c>
      <c r="K151" s="20"/>
      <c r="L151" s="20"/>
      <c r="M151" s="20"/>
      <c r="N151" s="20"/>
      <c r="O151" s="20"/>
      <c r="P151" s="1463">
        <f>'TEST_pour PROTOTYPE'!D117</f>
        <v>4</v>
      </c>
      <c r="Q151" s="24">
        <f t="shared" si="36"/>
        <v>12</v>
      </c>
      <c r="R151" s="8">
        <f>IF(BIBLE!K70=0,"",BIBLE!K70)</f>
        <v>2</v>
      </c>
      <c r="V151" s="6">
        <f>Q151</f>
        <v>12</v>
      </c>
      <c r="X151" s="6">
        <f t="shared" si="37"/>
        <v>0</v>
      </c>
      <c r="Y151" s="6">
        <f t="shared" si="37"/>
        <v>3</v>
      </c>
      <c r="Z151" s="6">
        <f t="shared" si="37"/>
        <v>6</v>
      </c>
      <c r="AA151" s="6">
        <f t="shared" si="37"/>
        <v>12</v>
      </c>
      <c r="AB151" s="6">
        <f t="shared" si="37"/>
        <v>21</v>
      </c>
      <c r="AC151" s="6">
        <f t="shared" si="37"/>
        <v>30</v>
      </c>
      <c r="AE151" s="476"/>
      <c r="AF151" s="1711"/>
      <c r="AG151" s="1711"/>
      <c r="AH151" s="22">
        <f>$V151*BIBLE!S70</f>
        <v>12</v>
      </c>
      <c r="AI151" s="22">
        <f>$V151*BIBLE!T70</f>
        <v>0</v>
      </c>
      <c r="AJ151" s="22">
        <f>$V151*BIBLE!U70</f>
        <v>0</v>
      </c>
      <c r="AK151" s="1236">
        <f>$V151*BIBLE!W70</f>
        <v>0</v>
      </c>
      <c r="AL151" s="1236">
        <f>$V151*BIBLE!X70</f>
        <v>0</v>
      </c>
      <c r="AM151" s="1236">
        <f>$V151*BIBLE!Y70</f>
        <v>0</v>
      </c>
      <c r="AN151" s="1236">
        <f>$V151*BIBLE!Z70</f>
        <v>0</v>
      </c>
      <c r="AO151" s="1236">
        <f>$V151*BIBLE!AA70</f>
        <v>0</v>
      </c>
      <c r="AP151" s="1236">
        <f>$V151*BIBLE!AB70</f>
        <v>0</v>
      </c>
      <c r="AQ151" s="1236">
        <f>$V151*BIBLE!AC70</f>
        <v>12</v>
      </c>
      <c r="AR151" s="1236">
        <f>$V151*BIBLE!AD70</f>
        <v>12</v>
      </c>
    </row>
    <row r="152" spans="1:44" s="8" customFormat="1" ht="39" customHeight="1" x14ac:dyDescent="0.2">
      <c r="A152" s="1197" t="str">
        <f>BIBLE!E71</f>
        <v>PCR15a</v>
      </c>
      <c r="B152" s="2516" t="str">
        <f>IF(P151&gt;=R151,BIBLE!F71," ")</f>
        <v>Avez-vous mis votre enfant au courant des enjeux juridiques (pension alimentaire, modalité de garde, etc.) qui vous oppose à l’autre parent ?</v>
      </c>
      <c r="C152" s="100" t="s">
        <v>230</v>
      </c>
      <c r="D152" s="1655">
        <v>1</v>
      </c>
      <c r="E152" s="37">
        <f>IF(P$152=D152,1,"x")</f>
        <v>1</v>
      </c>
      <c r="F152" s="20"/>
      <c r="G152" s="20"/>
      <c r="H152" s="20"/>
      <c r="I152" s="20"/>
      <c r="J152" s="20"/>
      <c r="K152" s="20"/>
      <c r="L152" s="20"/>
      <c r="M152" s="20"/>
      <c r="N152" s="20"/>
      <c r="O152" s="20"/>
      <c r="P152" s="1499">
        <f>'TEST_pour PROTOTYPE'!D118</f>
        <v>1</v>
      </c>
      <c r="Q152" s="24"/>
      <c r="R152" s="8" t="str">
        <f>IF(BIBLE!K71=0,"",BIBLE!K71)</f>
        <v/>
      </c>
      <c r="AE152" s="476"/>
      <c r="AF152" s="1711"/>
      <c r="AG152" s="1711"/>
      <c r="AH152" s="22"/>
      <c r="AI152" s="22"/>
      <c r="AJ152" s="22"/>
      <c r="AK152" s="1236"/>
      <c r="AL152" s="1236"/>
      <c r="AM152" s="1236"/>
      <c r="AN152" s="1236"/>
      <c r="AO152" s="1236"/>
      <c r="AP152" s="1236"/>
      <c r="AQ152" s="1236"/>
      <c r="AR152" s="1236"/>
    </row>
    <row r="153" spans="1:44" s="8" customFormat="1" ht="22" customHeight="1" x14ac:dyDescent="0.2">
      <c r="A153" s="1197"/>
      <c r="B153" s="2516"/>
      <c r="C153" s="100" t="s">
        <v>231</v>
      </c>
      <c r="D153" s="1655">
        <v>0</v>
      </c>
      <c r="E153" s="37" t="str">
        <f>IF(P$152=D153,1,"x")</f>
        <v>x</v>
      </c>
      <c r="F153" s="20"/>
      <c r="G153" s="20"/>
      <c r="H153" s="20"/>
      <c r="I153" s="20"/>
      <c r="J153" s="20"/>
      <c r="K153" s="20"/>
      <c r="L153" s="20"/>
      <c r="M153" s="20"/>
      <c r="N153" s="20"/>
      <c r="O153" s="20"/>
      <c r="P153" s="23"/>
      <c r="Q153" s="24"/>
      <c r="AE153" s="476"/>
      <c r="AF153" s="1711"/>
      <c r="AG153" s="1711"/>
      <c r="AH153" s="22"/>
      <c r="AI153" s="22"/>
      <c r="AJ153" s="22"/>
      <c r="AK153" s="1236"/>
      <c r="AL153" s="1236"/>
      <c r="AM153" s="1236"/>
      <c r="AN153" s="1236"/>
      <c r="AO153" s="1236"/>
      <c r="AP153" s="1236"/>
      <c r="AQ153" s="1236"/>
      <c r="AR153" s="1236"/>
    </row>
    <row r="154" spans="1:44" s="8" customFormat="1" ht="50" customHeight="1" x14ac:dyDescent="0.2">
      <c r="A154" s="1197" t="str">
        <f>BIBLE!E72</f>
        <v>PCR16</v>
      </c>
      <c r="B154" s="272" t="str">
        <f>BIBLE!F72</f>
        <v xml:space="preserve">Dans quelle mesure acceptez-vous ou êtes-vous serein·e avec la séparation (couple et famille) ? </v>
      </c>
      <c r="C154" s="1560" t="str">
        <f>BIBLE!O72</f>
        <v>Totalement / Grandement / Moyennement / Un peu / Très peu / Pas du tout / S.O.</v>
      </c>
      <c r="D154" s="1657">
        <f>IF(P154&lt;=2,BIBLE!M50,BIBLE!L50)</f>
        <v>1</v>
      </c>
      <c r="E154" s="20"/>
      <c r="F154" s="20"/>
      <c r="G154" s="20"/>
      <c r="H154" s="20"/>
      <c r="I154" s="20"/>
      <c r="J154" s="20">
        <v>1</v>
      </c>
      <c r="K154" s="20"/>
      <c r="L154" s="20"/>
      <c r="M154" s="20"/>
      <c r="N154" s="20"/>
      <c r="O154" s="20"/>
      <c r="P154" s="1463">
        <f>'TEST_pour PROTOTYPE'!D119</f>
        <v>4</v>
      </c>
      <c r="Q154" s="24">
        <f t="shared" si="36"/>
        <v>4</v>
      </c>
      <c r="R154" s="8">
        <f>IF(BIBLE!K72=0,"",BIBLE!K72)</f>
        <v>4</v>
      </c>
      <c r="V154" s="6">
        <f>IF(P154&gt;=R154,IF(Q154&gt;Q155,Q154,Q155),Q154)</f>
        <v>8</v>
      </c>
      <c r="X154" s="6">
        <f t="shared" ref="X154:AC154" si="38">IF(($P154&gt;=$R154),IF($Q154&gt;$Q155,X$109*$D154,X$109*$D155),X$109*$D154)</f>
        <v>0</v>
      </c>
      <c r="Y154" s="6">
        <f t="shared" si="38"/>
        <v>2</v>
      </c>
      <c r="Z154" s="6">
        <f t="shared" si="38"/>
        <v>4</v>
      </c>
      <c r="AA154" s="6">
        <f t="shared" si="38"/>
        <v>8</v>
      </c>
      <c r="AB154" s="6">
        <f t="shared" si="38"/>
        <v>14</v>
      </c>
      <c r="AC154" s="6">
        <f t="shared" si="38"/>
        <v>20</v>
      </c>
      <c r="AE154" s="476"/>
      <c r="AF154" s="1711"/>
      <c r="AG154" s="1711"/>
      <c r="AH154" s="22">
        <f>IF($Q154=$V154,$Q154*BIBLE!S72,$Q155*BIBLE!S73)</f>
        <v>0</v>
      </c>
      <c r="AI154" s="22">
        <f>IF($Q154=$V154,$Q154*BIBLE!T72,$Q155*BIBLE!T73)</f>
        <v>8</v>
      </c>
      <c r="AJ154" s="22">
        <f>IF($Q154=$V154,$Q154*BIBLE!U72,$Q155*BIBLE!U73)</f>
        <v>0</v>
      </c>
      <c r="AK154" s="1236">
        <f>IF($Q154=$V154,$Q154*BIBLE!W72,$Q155*BIBLE!W73)</f>
        <v>0</v>
      </c>
      <c r="AL154" s="1236">
        <f>IF($Q154=$V154,$Q154*BIBLE!X72,$Q155*BIBLE!X73)</f>
        <v>0</v>
      </c>
      <c r="AM154" s="1236">
        <f>IF($Q154=$V154,$Q154*BIBLE!Y72,$Q155*BIBLE!Y73)</f>
        <v>0</v>
      </c>
      <c r="AN154" s="1236">
        <f>IF($Q154=$V154,$Q154*BIBLE!Z72,$Q155*BIBLE!Z73)</f>
        <v>0</v>
      </c>
      <c r="AO154" s="1236">
        <f>IF($Q154=$V154,$Q154*BIBLE!AA72,$Q155*BIBLE!AA73)</f>
        <v>0</v>
      </c>
      <c r="AP154" s="1236">
        <f>IF($Q154=$V154,$Q154*BIBLE!AB72,$Q155*BIBLE!AB73)</f>
        <v>0</v>
      </c>
      <c r="AQ154" s="1236">
        <f>IF($Q154=$V154,$Q154*BIBLE!AC72,$Q155*BIBLE!AC73)</f>
        <v>8</v>
      </c>
      <c r="AR154" s="1236">
        <f>IF($Q154=$V154,$Q154*BIBLE!AD72,$Q155*BIBLE!AD73)</f>
        <v>0</v>
      </c>
    </row>
    <row r="155" spans="1:44" s="8" customFormat="1" ht="50" customHeight="1" x14ac:dyDescent="0.2">
      <c r="A155" s="1197" t="str">
        <f>BIBLE!E73</f>
        <v>PCR16a</v>
      </c>
      <c r="B155" s="103" t="str">
        <f>IF(P154&gt;=R154,BIBLE!F73," ")</f>
        <v>Vous confiez à votre enfant votre peine concernant la séparation.</v>
      </c>
      <c r="C155" s="1560" t="str">
        <f>BIBLE!O73</f>
        <v xml:space="preserve">Jamais / Rarement / Occasionnellement / Régulièrement / Souvent / Toujours / S.O. </v>
      </c>
      <c r="D155" s="1657">
        <f>BIBLE!L73</f>
        <v>2</v>
      </c>
      <c r="E155" s="20"/>
      <c r="F155" s="20"/>
      <c r="G155" s="20"/>
      <c r="H155" s="20"/>
      <c r="I155" s="20">
        <v>1</v>
      </c>
      <c r="J155" s="20"/>
      <c r="K155" s="20"/>
      <c r="L155" s="20"/>
      <c r="M155" s="20"/>
      <c r="N155" s="20"/>
      <c r="O155" s="20"/>
      <c r="P155" s="1463">
        <f>'TEST_pour PROTOTYPE'!D120</f>
        <v>4</v>
      </c>
      <c r="Q155" s="24">
        <f>P155*D155</f>
        <v>8</v>
      </c>
      <c r="R155" s="8" t="str">
        <f>IF(BIBLE!K73=0,"",BIBLE!K73)</f>
        <v/>
      </c>
      <c r="V155" s="6"/>
      <c r="X155" s="6"/>
      <c r="Y155" s="6"/>
      <c r="Z155" s="6"/>
      <c r="AA155" s="6"/>
      <c r="AB155" s="6"/>
      <c r="AC155" s="6"/>
      <c r="AE155" s="476"/>
      <c r="AF155" s="1711"/>
      <c r="AG155" s="1711"/>
      <c r="AH155" s="22"/>
      <c r="AI155" s="22"/>
      <c r="AJ155" s="22"/>
      <c r="AK155" s="1236"/>
      <c r="AL155" s="1236"/>
      <c r="AM155" s="1236"/>
      <c r="AN155" s="1236"/>
      <c r="AO155" s="1236"/>
      <c r="AP155" s="1236"/>
      <c r="AQ155" s="1236"/>
      <c r="AR155" s="1236"/>
    </row>
    <row r="156" spans="1:44" s="8" customFormat="1" ht="79" customHeight="1" x14ac:dyDescent="0.2">
      <c r="A156" s="1197" t="str">
        <f>BIBLE!E74</f>
        <v>PCR17</v>
      </c>
      <c r="B156" s="272" t="str">
        <f>IF($P$42&lt;&gt;1,BIBLE!F74,"")</f>
        <v/>
      </c>
      <c r="C156" s="1560" t="str">
        <f>BIBLE!O74</f>
        <v xml:space="preserve">Jamais / Rarement / Occasionnellement / Régulièrement / Souvent / Toujours / S.O. </v>
      </c>
      <c r="D156" s="1657">
        <f>BIBLE!L74</f>
        <v>1</v>
      </c>
      <c r="E156" s="20"/>
      <c r="F156" s="20"/>
      <c r="G156" s="20"/>
      <c r="H156" s="20"/>
      <c r="I156" s="20"/>
      <c r="J156" s="20"/>
      <c r="K156" s="20"/>
      <c r="L156" s="20"/>
      <c r="M156" s="20"/>
      <c r="N156" s="20"/>
      <c r="O156" s="20"/>
      <c r="P156" s="1463">
        <f>'TEST_pour PROTOTYPE'!D121</f>
        <v>0</v>
      </c>
      <c r="Q156" s="24">
        <f>P156*D156</f>
        <v>0</v>
      </c>
      <c r="R156" s="8" t="str">
        <f>IF(BIBLE!K75=0,"",BIBLE!K75)</f>
        <v/>
      </c>
      <c r="V156" s="6">
        <f>Q156</f>
        <v>0</v>
      </c>
      <c r="X156" s="6">
        <f t="shared" ref="X156:AC157" si="39">IF($Q156&gt;0,X$109*$D156,0)</f>
        <v>0</v>
      </c>
      <c r="Y156" s="6">
        <f t="shared" si="39"/>
        <v>0</v>
      </c>
      <c r="Z156" s="6">
        <f t="shared" si="39"/>
        <v>0</v>
      </c>
      <c r="AA156" s="6">
        <f t="shared" si="39"/>
        <v>0</v>
      </c>
      <c r="AB156" s="6">
        <f t="shared" si="39"/>
        <v>0</v>
      </c>
      <c r="AC156" s="6">
        <f t="shared" si="39"/>
        <v>0</v>
      </c>
      <c r="AE156" s="476"/>
      <c r="AF156" s="1711"/>
      <c r="AG156" s="1711"/>
      <c r="AH156" s="22"/>
      <c r="AI156" s="22"/>
      <c r="AJ156" s="22"/>
      <c r="AK156" s="1236"/>
      <c r="AL156" s="1236"/>
      <c r="AM156" s="1236"/>
      <c r="AN156" s="1236"/>
      <c r="AO156" s="1236"/>
      <c r="AP156" s="1236"/>
      <c r="AQ156" s="1236"/>
      <c r="AR156" s="1236"/>
    </row>
    <row r="157" spans="1:44" s="8" customFormat="1" ht="67" customHeight="1" x14ac:dyDescent="0.2">
      <c r="A157" s="1197" t="str">
        <f>BIBLE!E75</f>
        <v>PCR18</v>
      </c>
      <c r="B157" s="272" t="str">
        <f>IF($P$42&lt;&gt;1,BIBLE!F75,"")</f>
        <v/>
      </c>
      <c r="C157" s="1560" t="str">
        <f>BIBLE!O75</f>
        <v xml:space="preserve">Jamais / Rarement / Occasionnellement / Régulièrement / Souvent / Toujours / S.O. </v>
      </c>
      <c r="D157" s="1657">
        <f>BIBLE!L75</f>
        <v>1</v>
      </c>
      <c r="E157" s="20"/>
      <c r="F157" s="20"/>
      <c r="G157" s="20"/>
      <c r="H157" s="20"/>
      <c r="I157" s="20"/>
      <c r="J157" s="20"/>
      <c r="K157" s="20"/>
      <c r="L157" s="20"/>
      <c r="M157" s="20"/>
      <c r="N157" s="20"/>
      <c r="O157" s="20"/>
      <c r="P157" s="1463">
        <f>'TEST_pour PROTOTYPE'!D122</f>
        <v>0</v>
      </c>
      <c r="Q157" s="24">
        <f>P157*D157</f>
        <v>0</v>
      </c>
      <c r="R157" s="8" t="str">
        <f>IF(BIBLE!K78=0,"",BIBLE!K78)</f>
        <v/>
      </c>
      <c r="V157" s="6">
        <f>Q157</f>
        <v>0</v>
      </c>
      <c r="X157" s="6">
        <f t="shared" si="39"/>
        <v>0</v>
      </c>
      <c r="Y157" s="6">
        <f t="shared" si="39"/>
        <v>0</v>
      </c>
      <c r="Z157" s="6">
        <f t="shared" si="39"/>
        <v>0</v>
      </c>
      <c r="AA157" s="6">
        <f t="shared" si="39"/>
        <v>0</v>
      </c>
      <c r="AB157" s="6">
        <f t="shared" si="39"/>
        <v>0</v>
      </c>
      <c r="AC157" s="6">
        <f t="shared" si="39"/>
        <v>0</v>
      </c>
      <c r="AE157" s="476"/>
      <c r="AF157" s="1711"/>
      <c r="AG157" s="1711"/>
      <c r="AH157" s="22"/>
      <c r="AI157" s="22"/>
      <c r="AJ157" s="22"/>
      <c r="AK157" s="1236"/>
      <c r="AL157" s="1236"/>
      <c r="AM157" s="1236"/>
      <c r="AN157" s="1236"/>
      <c r="AO157" s="1236"/>
      <c r="AP157" s="1236"/>
      <c r="AQ157" s="1236"/>
      <c r="AR157" s="1236"/>
    </row>
    <row r="158" spans="1:44" s="8" customFormat="1" ht="30" customHeight="1" x14ac:dyDescent="0.2">
      <c r="A158" s="105"/>
      <c r="B158" s="272"/>
      <c r="C158" s="466"/>
      <c r="D158" s="267"/>
      <c r="P158" s="67"/>
      <c r="Q158" s="6"/>
      <c r="X158" s="6"/>
      <c r="Y158" s="6"/>
      <c r="Z158" s="6"/>
      <c r="AA158" s="6"/>
      <c r="AB158" s="6"/>
      <c r="AC158" s="6"/>
      <c r="AE158" s="476"/>
      <c r="AF158" s="1711"/>
      <c r="AG158" s="1711"/>
      <c r="AH158" s="22"/>
      <c r="AI158" s="22"/>
      <c r="AJ158" s="22"/>
      <c r="AK158" s="1236"/>
      <c r="AL158" s="1236"/>
      <c r="AM158" s="1236"/>
      <c r="AN158" s="1236"/>
      <c r="AO158" s="1236"/>
      <c r="AP158" s="1236"/>
      <c r="AQ158" s="1236"/>
      <c r="AR158" s="1236"/>
    </row>
    <row r="159" spans="1:44" s="8" customFormat="1" ht="30" customHeight="1" x14ac:dyDescent="0.2">
      <c r="A159" s="105"/>
      <c r="B159" s="272"/>
      <c r="D159" s="267"/>
      <c r="P159" s="67"/>
      <c r="V159" s="454">
        <f>SUM(V112:V157)</f>
        <v>88</v>
      </c>
      <c r="X159" s="454">
        <f t="shared" ref="X159:AC159" si="40">SUM(X112:X157)</f>
        <v>0</v>
      </c>
      <c r="Y159" s="454">
        <f t="shared" si="40"/>
        <v>27</v>
      </c>
      <c r="Z159" s="454">
        <f t="shared" si="40"/>
        <v>54</v>
      </c>
      <c r="AA159" s="454">
        <f t="shared" si="40"/>
        <v>108</v>
      </c>
      <c r="AB159" s="454">
        <f t="shared" si="40"/>
        <v>189</v>
      </c>
      <c r="AC159" s="454">
        <f t="shared" si="40"/>
        <v>270</v>
      </c>
      <c r="AD159" s="63">
        <f>V159/AC159</f>
        <v>0.32592592592592595</v>
      </c>
      <c r="AE159" s="1247">
        <f t="shared" ref="AE159:AR159" si="41">SUM(AE112:AE158)</f>
        <v>0</v>
      </c>
      <c r="AF159" s="1714"/>
      <c r="AG159" s="1714"/>
      <c r="AH159" s="1248">
        <f t="shared" si="41"/>
        <v>73</v>
      </c>
      <c r="AI159" s="1248">
        <f t="shared" si="41"/>
        <v>9</v>
      </c>
      <c r="AJ159" s="1248">
        <f t="shared" si="41"/>
        <v>6</v>
      </c>
      <c r="AK159" s="1249">
        <f t="shared" si="41"/>
        <v>0</v>
      </c>
      <c r="AL159" s="1249">
        <f t="shared" si="41"/>
        <v>0</v>
      </c>
      <c r="AM159" s="1249">
        <f t="shared" si="41"/>
        <v>15</v>
      </c>
      <c r="AN159" s="1249">
        <f t="shared" si="41"/>
        <v>4</v>
      </c>
      <c r="AO159" s="1249">
        <f t="shared" si="41"/>
        <v>18</v>
      </c>
      <c r="AP159" s="1249">
        <f t="shared" si="41"/>
        <v>7</v>
      </c>
      <c r="AQ159" s="1249">
        <f t="shared" si="41"/>
        <v>44</v>
      </c>
      <c r="AR159" s="1249">
        <f t="shared" si="41"/>
        <v>12</v>
      </c>
    </row>
    <row r="160" spans="1:44" s="8" customFormat="1" x14ac:dyDescent="0.2">
      <c r="A160" s="259"/>
      <c r="B160" s="54"/>
      <c r="C160" s="277"/>
      <c r="D160" s="269"/>
      <c r="P160" s="67"/>
      <c r="Q160" s="6"/>
      <c r="X160" s="6"/>
      <c r="Y160" s="7" t="s">
        <v>358</v>
      </c>
      <c r="Z160" s="8" t="s">
        <v>359</v>
      </c>
      <c r="AA160" s="8" t="s">
        <v>26</v>
      </c>
      <c r="AB160" s="8" t="s">
        <v>27</v>
      </c>
      <c r="AC160" s="8" t="s">
        <v>1985</v>
      </c>
      <c r="AE160" s="1253"/>
      <c r="AF160" s="1715"/>
      <c r="AG160" s="1715"/>
      <c r="AH160" s="1251">
        <f>AH159/SUM($AH$159:$AJ$159)</f>
        <v>0.82954545454545459</v>
      </c>
      <c r="AI160" s="1251">
        <f>AI159/SUM($AH$159:$AJ$159)</f>
        <v>0.10227272727272728</v>
      </c>
      <c r="AJ160" s="1251">
        <f>AJ159/SUM($AH$159:$AJ$159)</f>
        <v>6.8181818181818177E-2</v>
      </c>
      <c r="AK160" s="1252">
        <f>AK159/SUM($AK$159:$AR$159)</f>
        <v>0</v>
      </c>
      <c r="AL160" s="1252">
        <f t="shared" ref="AL160:AR160" si="42">AL159/SUM($AK$159:$AR$159)</f>
        <v>0</v>
      </c>
      <c r="AM160" s="1252">
        <f t="shared" si="42"/>
        <v>0.15</v>
      </c>
      <c r="AN160" s="1252">
        <f t="shared" si="42"/>
        <v>0.04</v>
      </c>
      <c r="AO160" s="1252">
        <f t="shared" si="42"/>
        <v>0.18</v>
      </c>
      <c r="AP160" s="1252">
        <f t="shared" si="42"/>
        <v>7.0000000000000007E-2</v>
      </c>
      <c r="AQ160" s="1252">
        <f t="shared" si="42"/>
        <v>0.44</v>
      </c>
      <c r="AR160" s="1252">
        <f t="shared" si="42"/>
        <v>0.12</v>
      </c>
    </row>
    <row r="161" spans="1:44" s="8" customFormat="1" ht="20" customHeight="1" x14ac:dyDescent="0.2">
      <c r="A161" s="105"/>
      <c r="B161" s="25"/>
      <c r="C161" s="100"/>
      <c r="D161" s="266"/>
      <c r="P161" s="23"/>
      <c r="Q161" s="24"/>
      <c r="R161" s="16"/>
      <c r="S161" s="16"/>
      <c r="T161" s="16"/>
      <c r="U161" s="16"/>
      <c r="V161" s="16"/>
      <c r="W161" s="16"/>
      <c r="X161" s="2487" t="s">
        <v>356</v>
      </c>
      <c r="Y161" s="2487"/>
      <c r="Z161" s="2487"/>
      <c r="AA161" s="2487"/>
      <c r="AB161" s="2487"/>
      <c r="AC161" s="2487"/>
      <c r="AE161" s="476"/>
      <c r="AF161" s="1711"/>
      <c r="AG161" s="1711"/>
      <c r="AH161" s="22"/>
      <c r="AI161" s="22"/>
      <c r="AJ161" s="22"/>
      <c r="AK161" s="1236"/>
      <c r="AL161" s="1236"/>
      <c r="AM161" s="1236"/>
      <c r="AN161" s="1236"/>
      <c r="AO161" s="1236"/>
      <c r="AP161" s="1236"/>
      <c r="AQ161" s="1236"/>
      <c r="AR161" s="1236"/>
    </row>
    <row r="162" spans="1:44" s="8" customFormat="1" ht="24" customHeight="1" thickBot="1" x14ac:dyDescent="0.25">
      <c r="A162" s="519" t="s">
        <v>408</v>
      </c>
      <c r="B162" s="25"/>
      <c r="C162" s="22"/>
      <c r="D162" s="1657"/>
      <c r="E162" s="472">
        <f>$E$52</f>
        <v>0</v>
      </c>
      <c r="F162" s="275">
        <f>$F$52</f>
        <v>0</v>
      </c>
      <c r="G162" s="275">
        <f>$G$52</f>
        <v>1</v>
      </c>
      <c r="H162" s="275">
        <f>$H$52</f>
        <v>2</v>
      </c>
      <c r="I162" s="275">
        <f>$I$52</f>
        <v>4</v>
      </c>
      <c r="J162" s="275">
        <f>$J$52</f>
        <v>7</v>
      </c>
      <c r="K162" s="275">
        <f>$K$52</f>
        <v>10</v>
      </c>
      <c r="L162" s="438">
        <f>$L$97</f>
        <v>7</v>
      </c>
      <c r="M162" s="438">
        <f>$M$97</f>
        <v>8</v>
      </c>
      <c r="N162" s="438">
        <f>$N$97</f>
        <v>9</v>
      </c>
      <c r="O162" s="438">
        <f>$O$97</f>
        <v>10</v>
      </c>
      <c r="P162" s="60" t="s">
        <v>227</v>
      </c>
      <c r="Q162" s="60" t="s">
        <v>228</v>
      </c>
      <c r="R162" s="60" t="s">
        <v>237</v>
      </c>
      <c r="S162" s="132"/>
      <c r="T162" s="132"/>
      <c r="U162" s="132"/>
      <c r="V162" s="132"/>
      <c r="W162" s="132"/>
      <c r="X162" s="448">
        <v>0</v>
      </c>
      <c r="Y162" s="448">
        <f t="shared" ref="Y162" si="43">G162</f>
        <v>1</v>
      </c>
      <c r="Z162" s="448">
        <f t="shared" ref="Z162" si="44">H162</f>
        <v>2</v>
      </c>
      <c r="AA162" s="448">
        <f t="shared" ref="AA162" si="45">I162</f>
        <v>4</v>
      </c>
      <c r="AB162" s="448">
        <f t="shared" ref="AB162" si="46">J162</f>
        <v>7</v>
      </c>
      <c r="AC162" s="448">
        <f t="shared" ref="AC162" si="47">K162</f>
        <v>10</v>
      </c>
      <c r="AE162" s="476"/>
      <c r="AF162" s="1711"/>
      <c r="AG162" s="1711"/>
      <c r="AH162" s="22"/>
      <c r="AI162" s="22"/>
      <c r="AJ162" s="22"/>
      <c r="AK162" s="1236"/>
      <c r="AL162" s="1236"/>
      <c r="AM162" s="1236"/>
      <c r="AN162" s="1236"/>
      <c r="AO162" s="1236"/>
      <c r="AP162" s="1236"/>
      <c r="AQ162" s="1236"/>
      <c r="AR162" s="1236"/>
    </row>
    <row r="163" spans="1:44" s="8" customFormat="1" ht="54" customHeight="1" thickTop="1" x14ac:dyDescent="0.2">
      <c r="A163" s="1198" t="str">
        <f>BIBLE!E80</f>
        <v>PFA00</v>
      </c>
      <c r="B163" s="131" t="str">
        <f>IF($P$53&lt;=2,BIBLE!F80,"")</f>
        <v>L'autre parent (coparent) accepte de faire des compromis afin d'assurer une bonne entente de garde.</v>
      </c>
      <c r="C163" s="463" t="str">
        <f>BIBLE!O80</f>
        <v>Toujours / Souvent / Régulièrement / Occasionnellement / Rarement / Jamais / S.O.</v>
      </c>
      <c r="D163" s="1290">
        <f>BIBLE!L80</f>
        <v>1</v>
      </c>
      <c r="E163" s="6"/>
      <c r="F163" s="6"/>
      <c r="G163" s="6"/>
      <c r="H163" s="6"/>
      <c r="I163" s="6"/>
      <c r="J163" s="6"/>
      <c r="K163" s="6">
        <v>1</v>
      </c>
      <c r="L163" s="6"/>
      <c r="M163" s="6"/>
      <c r="N163" s="6"/>
      <c r="O163" s="438"/>
      <c r="P163" s="1561">
        <f>'TEST_pour PROTOTYPE'!D147</f>
        <v>10</v>
      </c>
      <c r="Q163" s="24">
        <f>P163*D163</f>
        <v>10</v>
      </c>
      <c r="S163" s="132"/>
      <c r="T163" s="132"/>
      <c r="U163" s="132"/>
      <c r="V163" s="6">
        <f>Q163</f>
        <v>10</v>
      </c>
      <c r="W163" s="16"/>
      <c r="X163" s="6">
        <f t="shared" ref="X163:AC163" si="48">IF($Q163&gt;0,X$109*$D163,0)</f>
        <v>0</v>
      </c>
      <c r="Y163" s="6">
        <f t="shared" si="48"/>
        <v>1</v>
      </c>
      <c r="Z163" s="6">
        <f t="shared" si="48"/>
        <v>2</v>
      </c>
      <c r="AA163" s="6">
        <f t="shared" si="48"/>
        <v>4</v>
      </c>
      <c r="AB163" s="6">
        <f t="shared" si="48"/>
        <v>7</v>
      </c>
      <c r="AC163" s="6">
        <f t="shared" si="48"/>
        <v>10</v>
      </c>
      <c r="AE163" s="476"/>
      <c r="AF163" s="1711"/>
      <c r="AG163" s="1711"/>
      <c r="AH163" s="22">
        <f>$V163*BIBLE!S80</f>
        <v>10</v>
      </c>
      <c r="AI163" s="22">
        <f>$V163*BIBLE!T80</f>
        <v>0</v>
      </c>
      <c r="AJ163" s="22">
        <f>$V163*BIBLE!U80</f>
        <v>0</v>
      </c>
      <c r="AK163" s="1236">
        <f>$V163*BIBLE!W80</f>
        <v>0</v>
      </c>
      <c r="AL163" s="1236">
        <f>$V163*BIBLE!X80</f>
        <v>0</v>
      </c>
      <c r="AM163" s="1236">
        <f>$V163*BIBLE!Y80</f>
        <v>10</v>
      </c>
      <c r="AN163" s="1236">
        <f>$V163*BIBLE!Z80</f>
        <v>0</v>
      </c>
      <c r="AO163" s="1236">
        <f>$V163*BIBLE!AA80</f>
        <v>0</v>
      </c>
      <c r="AP163" s="1236">
        <f>$V163*BIBLE!AB80</f>
        <v>0</v>
      </c>
      <c r="AQ163" s="1236">
        <f>$V163*BIBLE!AC80</f>
        <v>0</v>
      </c>
      <c r="AR163" s="1236">
        <f>$V163*BIBLE!AD80</f>
        <v>0</v>
      </c>
    </row>
    <row r="164" spans="1:44" s="8" customFormat="1" ht="24" customHeight="1" thickBot="1" x14ac:dyDescent="0.25">
      <c r="A164" s="1198"/>
      <c r="B164" s="133"/>
      <c r="C164" s="22"/>
      <c r="D164" s="1657"/>
      <c r="E164" s="275">
        <f>$E$97</f>
        <v>0</v>
      </c>
      <c r="F164" s="275">
        <f>$F$97</f>
        <v>1</v>
      </c>
      <c r="G164" s="275">
        <f>$G$97</f>
        <v>2</v>
      </c>
      <c r="H164" s="275">
        <f>$H$97</f>
        <v>3</v>
      </c>
      <c r="I164" s="275">
        <f>$I$97</f>
        <v>4</v>
      </c>
      <c r="J164" s="275">
        <f>$J$97</f>
        <v>5</v>
      </c>
      <c r="K164" s="275">
        <f>$K$97</f>
        <v>6</v>
      </c>
      <c r="L164" s="275">
        <f>$L$97</f>
        <v>7</v>
      </c>
      <c r="M164" s="275">
        <f>$M$97</f>
        <v>8</v>
      </c>
      <c r="N164" s="275">
        <f>$N$97</f>
        <v>9</v>
      </c>
      <c r="O164" s="275">
        <f>$O$97</f>
        <v>10</v>
      </c>
      <c r="P164" s="1136"/>
      <c r="Q164" s="1136"/>
      <c r="R164" s="132"/>
      <c r="S164" s="132"/>
      <c r="T164" s="132"/>
      <c r="U164" s="132"/>
      <c r="V164" s="132"/>
      <c r="W164" s="132"/>
      <c r="AE164" s="476"/>
      <c r="AF164" s="1711"/>
      <c r="AG164" s="1711"/>
      <c r="AH164" s="22"/>
      <c r="AI164" s="22"/>
      <c r="AJ164" s="22"/>
      <c r="AK164" s="1236"/>
      <c r="AL164" s="1236"/>
      <c r="AM164" s="1236"/>
      <c r="AN164" s="1236"/>
      <c r="AO164" s="1236"/>
      <c r="AP164" s="1236"/>
      <c r="AQ164" s="1236"/>
      <c r="AR164" s="1236"/>
    </row>
    <row r="165" spans="1:44" s="8" customFormat="1" ht="44" customHeight="1" thickTop="1" x14ac:dyDescent="0.2">
      <c r="A165" s="1198" t="str">
        <f>BIBLE!E81</f>
        <v>PFA01</v>
      </c>
      <c r="B165" s="133" t="str">
        <f>BIBLE!F81</f>
        <v xml:space="preserve">Comment qualifieriez-vous la relation et le degré de complicité entre votre enfant et l'autre parent, aujourd'hui (temps présent) ? </v>
      </c>
      <c r="C165" s="463" t="str">
        <f>BIBLE!O81</f>
        <v>Aucune (1) à Excellente (10)</v>
      </c>
      <c r="D165" s="1290">
        <f>BIBLE!L81</f>
        <v>1</v>
      </c>
      <c r="E165" s="19"/>
      <c r="F165" s="19"/>
      <c r="G165" s="20"/>
      <c r="H165" s="20"/>
      <c r="I165" s="20"/>
      <c r="J165" s="20"/>
      <c r="K165" s="7"/>
      <c r="L165" s="19">
        <v>1</v>
      </c>
      <c r="M165" s="19"/>
      <c r="N165" s="19"/>
      <c r="O165" s="19"/>
      <c r="P165" s="1561">
        <f>'TEST_pour PROTOTYPE'!D148</f>
        <v>7</v>
      </c>
      <c r="Q165" s="24">
        <f>P165*D165</f>
        <v>7</v>
      </c>
      <c r="R165" s="8" t="str">
        <f>IF(BIBLE!K81=0,"",BIBLE!K81)</f>
        <v/>
      </c>
      <c r="S165" s="16"/>
      <c r="T165" s="16"/>
      <c r="U165" s="16"/>
      <c r="V165" s="16"/>
      <c r="W165" s="16"/>
      <c r="AE165" s="476"/>
      <c r="AF165" s="1711"/>
      <c r="AG165" s="1711"/>
      <c r="AH165" s="22"/>
      <c r="AI165" s="22"/>
      <c r="AJ165" s="22"/>
      <c r="AK165" s="1236"/>
      <c r="AL165" s="1236"/>
      <c r="AM165" s="1236"/>
      <c r="AN165" s="1236"/>
      <c r="AO165" s="1236"/>
      <c r="AP165" s="1236"/>
      <c r="AQ165" s="1236"/>
      <c r="AR165" s="1236"/>
    </row>
    <row r="166" spans="1:44" s="8" customFormat="1" ht="52" customHeight="1" x14ac:dyDescent="0.2">
      <c r="A166" s="1198" t="str">
        <f>BIBLE!E82</f>
        <v>PFA02</v>
      </c>
      <c r="B166" s="133" t="str">
        <f>BIBLE!F82</f>
        <v>Selon vous, dans quelle mesure l'autre parent entretien une relation fusionnelle avec votre enfant ?</v>
      </c>
      <c r="C166" s="463" t="str">
        <f>BIBLE!O82</f>
        <v>Aucune (1) à Excellente (10)</v>
      </c>
      <c r="D166" s="1290">
        <f>BIBLE!L82</f>
        <v>1</v>
      </c>
      <c r="K166" s="7">
        <v>1</v>
      </c>
      <c r="P166" s="1561">
        <f>'TEST_pour PROTOTYPE'!D149</f>
        <v>7</v>
      </c>
      <c r="Q166" s="24">
        <f>P166*D166</f>
        <v>7</v>
      </c>
      <c r="R166" s="8">
        <f>IF(BIBLE!K82=0,"",BIBLE!K82)</f>
        <v>6</v>
      </c>
      <c r="S166" s="16"/>
      <c r="T166" s="16"/>
      <c r="U166" s="16"/>
      <c r="V166" s="16"/>
      <c r="W166" s="16"/>
      <c r="AE166" s="476"/>
      <c r="AF166" s="1711"/>
      <c r="AG166" s="1711"/>
      <c r="AH166" s="22"/>
      <c r="AI166" s="22"/>
      <c r="AJ166" s="22"/>
      <c r="AK166" s="1236"/>
      <c r="AL166" s="1236"/>
      <c r="AM166" s="1236"/>
      <c r="AN166" s="1236"/>
      <c r="AO166" s="1236"/>
      <c r="AP166" s="1236"/>
      <c r="AQ166" s="1236"/>
      <c r="AR166" s="1236"/>
    </row>
    <row r="167" spans="1:44" s="8" customFormat="1" ht="41" customHeight="1" x14ac:dyDescent="0.2">
      <c r="A167" s="1198" t="str">
        <f>BIBLE!E83</f>
        <v>PFA02a</v>
      </c>
      <c r="B167" s="2517" t="str">
        <f>IF(P166&gt;=R166,BIBLE!F83,"")</f>
        <v>Diriez-vous que la relation fusionnelle entre votre enfant et l'autre parent est consciente (intentionnelle) ou inconsciente ?</v>
      </c>
      <c r="C167" s="100" t="s">
        <v>240</v>
      </c>
      <c r="D167" s="1655">
        <v>1</v>
      </c>
      <c r="E167" s="37">
        <f>IF(P$167=D167,1,"x")</f>
        <v>1</v>
      </c>
      <c r="K167" s="7"/>
      <c r="P167" s="1562">
        <f>'TEST_pour PROTOTYPE'!D150</f>
        <v>1</v>
      </c>
      <c r="Q167" s="24"/>
      <c r="R167" s="16"/>
      <c r="S167" s="16"/>
      <c r="T167" s="16"/>
      <c r="U167" s="16"/>
      <c r="V167" s="16"/>
      <c r="W167" s="16"/>
      <c r="AE167" s="476"/>
      <c r="AF167" s="1711"/>
      <c r="AG167" s="1711"/>
      <c r="AH167" s="22"/>
      <c r="AI167" s="22"/>
      <c r="AJ167" s="22"/>
      <c r="AK167" s="1236"/>
      <c r="AL167" s="1236"/>
      <c r="AM167" s="1236"/>
      <c r="AN167" s="1236"/>
      <c r="AO167" s="1236"/>
      <c r="AP167" s="1236"/>
      <c r="AQ167" s="1236"/>
      <c r="AR167" s="1236"/>
    </row>
    <row r="168" spans="1:44" s="8" customFormat="1" ht="28" customHeight="1" x14ac:dyDescent="0.2">
      <c r="A168" s="1198"/>
      <c r="B168" s="2518" t="str">
        <f>IF(P167&gt;=R167,BIBLE!F82,"")</f>
        <v>Selon vous, dans quelle mesure l'autre parent entretien une relation fusionnelle avec votre enfant ?</v>
      </c>
      <c r="C168" s="100" t="s">
        <v>241</v>
      </c>
      <c r="D168" s="1656">
        <v>2</v>
      </c>
      <c r="E168" s="37" t="str">
        <f>IF(P$167=D168,1,"x")</f>
        <v>x</v>
      </c>
      <c r="K168" s="7"/>
      <c r="P168" s="23"/>
      <c r="Q168" s="24"/>
      <c r="R168" s="16"/>
      <c r="S168" s="16"/>
      <c r="T168" s="16"/>
      <c r="U168" s="16"/>
      <c r="V168" s="16"/>
      <c r="W168" s="16"/>
      <c r="AE168" s="476"/>
      <c r="AF168" s="1711"/>
      <c r="AG168" s="1711"/>
      <c r="AH168" s="22"/>
      <c r="AI168" s="22"/>
      <c r="AJ168" s="22"/>
      <c r="AK168" s="1236"/>
      <c r="AL168" s="1236"/>
      <c r="AM168" s="1236"/>
      <c r="AN168" s="1236"/>
      <c r="AO168" s="1236"/>
      <c r="AP168" s="1236"/>
      <c r="AQ168" s="1236"/>
      <c r="AR168" s="1236"/>
    </row>
    <row r="169" spans="1:44" s="8" customFormat="1" ht="21" customHeight="1" thickBot="1" x14ac:dyDescent="0.25">
      <c r="A169" s="1198"/>
      <c r="B169" s="133"/>
      <c r="C169" s="100"/>
      <c r="D169" s="1657"/>
      <c r="E169" s="472">
        <f>$E$52</f>
        <v>0</v>
      </c>
      <c r="F169" s="275">
        <f>$F$52</f>
        <v>0</v>
      </c>
      <c r="G169" s="275">
        <f>$G$52</f>
        <v>1</v>
      </c>
      <c r="H169" s="275">
        <f>$H$52</f>
        <v>2</v>
      </c>
      <c r="I169" s="275">
        <f>$I$52</f>
        <v>4</v>
      </c>
      <c r="J169" s="275">
        <f>$J$52</f>
        <v>7</v>
      </c>
      <c r="K169" s="275">
        <f>$K$52</f>
        <v>10</v>
      </c>
      <c r="N169" s="16"/>
      <c r="O169" s="16"/>
      <c r="P169" s="60" t="s">
        <v>227</v>
      </c>
      <c r="Q169" s="60" t="s">
        <v>228</v>
      </c>
      <c r="R169" s="60" t="s">
        <v>237</v>
      </c>
      <c r="S169" s="132"/>
      <c r="T169" s="132"/>
      <c r="U169" s="132"/>
      <c r="V169" s="132"/>
      <c r="W169" s="132"/>
      <c r="AE169" s="476"/>
      <c r="AF169" s="1711"/>
      <c r="AG169" s="1711"/>
      <c r="AH169" s="22"/>
      <c r="AI169" s="22"/>
      <c r="AJ169" s="22"/>
      <c r="AK169" s="1236"/>
      <c r="AL169" s="1236"/>
      <c r="AM169" s="1236"/>
      <c r="AN169" s="1236"/>
      <c r="AO169" s="1236"/>
      <c r="AP169" s="1236"/>
      <c r="AQ169" s="1236"/>
      <c r="AR169" s="1236"/>
    </row>
    <row r="170" spans="1:44" s="8" customFormat="1" ht="66" customHeight="1" thickTop="1" x14ac:dyDescent="0.2">
      <c r="A170" s="1198" t="str">
        <f>BIBLE!E84</f>
        <v>PFA03</v>
      </c>
      <c r="B170" s="133" t="str">
        <f>BIBLE!F84</f>
        <v>Selon vous, dans quelle mesure l'autre parent demande à votre enfant de garder des secrets ou de vous cacher des choses ?</v>
      </c>
      <c r="C170" s="463" t="str">
        <f>BIBLE!O84</f>
        <v xml:space="preserve">Jamais / Rarement / Occasionnellement / Régulièrement / Souvent / Toujours / S.O. </v>
      </c>
      <c r="D170" s="1657">
        <f>IF($E$40&gt;=10,BIBLE!L84,BIBLE!M84)</f>
        <v>3</v>
      </c>
      <c r="E170" s="19"/>
      <c r="F170" s="19"/>
      <c r="G170" s="19"/>
      <c r="H170" s="19"/>
      <c r="I170" s="19"/>
      <c r="J170" s="19">
        <v>1</v>
      </c>
      <c r="K170" s="19"/>
      <c r="L170" s="19"/>
      <c r="M170" s="19"/>
      <c r="N170" s="19"/>
      <c r="O170" s="19"/>
      <c r="P170" s="1561">
        <f>'TEST_pour PROTOTYPE'!D151</f>
        <v>7</v>
      </c>
      <c r="Q170" s="24">
        <f>P170*D170</f>
        <v>21</v>
      </c>
      <c r="R170" s="8" t="str">
        <f>IF(BIBLE!K84=0,"",BIBLE!K84)</f>
        <v/>
      </c>
      <c r="S170" s="16"/>
      <c r="T170" s="16"/>
      <c r="U170" s="16"/>
      <c r="V170" s="6">
        <f>Q170</f>
        <v>21</v>
      </c>
      <c r="W170" s="16"/>
      <c r="X170" s="6">
        <f>IF($Q170&gt;0,X$109*$D170,0)</f>
        <v>0</v>
      </c>
      <c r="Y170" s="6">
        <f t="shared" ref="Y170:AC170" si="49">IF($Q170&gt;0,Y$109*$D170,0)</f>
        <v>3</v>
      </c>
      <c r="Z170" s="6">
        <f t="shared" si="49"/>
        <v>6</v>
      </c>
      <c r="AA170" s="6">
        <f t="shared" si="49"/>
        <v>12</v>
      </c>
      <c r="AB170" s="6">
        <f t="shared" si="49"/>
        <v>21</v>
      </c>
      <c r="AC170" s="6">
        <f t="shared" si="49"/>
        <v>30</v>
      </c>
      <c r="AE170" s="476"/>
      <c r="AF170" s="1711"/>
      <c r="AG170" s="1711"/>
      <c r="AH170" s="22">
        <f>$V170*BIBLE!S84</f>
        <v>0</v>
      </c>
      <c r="AI170" s="22">
        <f>$V170*BIBLE!T84</f>
        <v>0</v>
      </c>
      <c r="AJ170" s="22">
        <f>$V170*BIBLE!U84</f>
        <v>21</v>
      </c>
      <c r="AK170" s="1236">
        <f>$V170*BIBLE!W84</f>
        <v>0</v>
      </c>
      <c r="AL170" s="1236">
        <f>$V170*BIBLE!X84</f>
        <v>0</v>
      </c>
      <c r="AM170" s="1236">
        <f>$V170*BIBLE!Y84</f>
        <v>0</v>
      </c>
      <c r="AN170" s="1236">
        <f>$V170*BIBLE!Z84</f>
        <v>0</v>
      </c>
      <c r="AO170" s="1236">
        <f>$V170*BIBLE!AA84</f>
        <v>0</v>
      </c>
      <c r="AP170" s="1236">
        <f>$V170*BIBLE!AB84</f>
        <v>0</v>
      </c>
      <c r="AQ170" s="1236">
        <f>$V170*BIBLE!AC84</f>
        <v>0</v>
      </c>
      <c r="AR170" s="1236">
        <f>$V170*BIBLE!AD84</f>
        <v>21</v>
      </c>
    </row>
    <row r="171" spans="1:44" s="8" customFormat="1" ht="66" customHeight="1" x14ac:dyDescent="0.2">
      <c r="A171" s="1198" t="str">
        <f>BIBLE!E85</f>
        <v>PFA04</v>
      </c>
      <c r="B171" s="133" t="str">
        <f>BIBLE!F85</f>
        <v>L’autre parent laisse entendre à votre enfant que vous avez abandonné la famille.</v>
      </c>
      <c r="C171" s="463" t="str">
        <f>BIBLE!O85</f>
        <v>Nulle / Très faible / Faible / Moyenne / Élevée / Très élevée / S.O.</v>
      </c>
      <c r="D171" s="1290">
        <f>BIBLE!L85</f>
        <v>1</v>
      </c>
      <c r="E171" s="19"/>
      <c r="F171" s="19"/>
      <c r="G171" s="19"/>
      <c r="H171" s="19"/>
      <c r="I171" s="19"/>
      <c r="J171" s="19">
        <v>1</v>
      </c>
      <c r="K171" s="19"/>
      <c r="L171" s="19"/>
      <c r="M171" s="19"/>
      <c r="N171" s="19"/>
      <c r="O171" s="19"/>
      <c r="P171" s="1561">
        <f>'TEST_pour PROTOTYPE'!D152</f>
        <v>7</v>
      </c>
      <c r="Q171" s="24">
        <f t="shared" ref="Q171:Q200" si="50">P171*D171</f>
        <v>7</v>
      </c>
      <c r="R171" s="8">
        <f>IF(BIBLE!K85=0,"",BIBLE!K85)</f>
        <v>4</v>
      </c>
      <c r="S171" s="16"/>
      <c r="T171" s="16"/>
      <c r="U171" s="16"/>
      <c r="V171" s="6">
        <f>IF(P171&gt;=R171,IF(Q171&gt;Q172,Q171,Q172),Q171)</f>
        <v>8</v>
      </c>
      <c r="X171" s="6">
        <f t="shared" ref="X171:AC171" si="51">IF(($P171&gt;=$R171),IF($Q171&gt;$Q172,X$109*$D171,X$109*$D172),X$109*$D171)</f>
        <v>0</v>
      </c>
      <c r="Y171" s="6">
        <f t="shared" si="51"/>
        <v>2</v>
      </c>
      <c r="Z171" s="6">
        <f t="shared" si="51"/>
        <v>4</v>
      </c>
      <c r="AA171" s="6">
        <f t="shared" si="51"/>
        <v>8</v>
      </c>
      <c r="AB171" s="6">
        <f t="shared" si="51"/>
        <v>14</v>
      </c>
      <c r="AC171" s="6">
        <f t="shared" si="51"/>
        <v>20</v>
      </c>
      <c r="AE171" s="476"/>
      <c r="AF171" s="1711"/>
      <c r="AG171" s="1711"/>
      <c r="AH171" s="22">
        <f>IF($Q171=$V171,$Q171*BIBLE!S85,$Q172*BIBLE!S86)</f>
        <v>0</v>
      </c>
      <c r="AI171" s="22">
        <f>IF($Q171=$V171,$Q171*BIBLE!T85,$Q172*BIBLE!T86)</f>
        <v>8</v>
      </c>
      <c r="AJ171" s="22">
        <f>IF($Q171=$V171,$Q171*BIBLE!U85,$Q172*BIBLE!U86)</f>
        <v>0</v>
      </c>
      <c r="AK171" s="1236">
        <f>IF($Q171=$V171,$Q171*BIBLE!W85,$Q172*BIBLE!W86)</f>
        <v>0</v>
      </c>
      <c r="AL171" s="1236">
        <f>IF($Q171=$V171,$Q171*BIBLE!X85,$Q172*BIBLE!X86)</f>
        <v>8</v>
      </c>
      <c r="AM171" s="1236">
        <f>IF($Q171=$V171,$Q171*BIBLE!Y85,$Q172*BIBLE!Y86)</f>
        <v>0</v>
      </c>
      <c r="AN171" s="1236">
        <f>IF($Q171=$V171,$Q171*BIBLE!Z85,$Q172*BIBLE!Z86)</f>
        <v>0</v>
      </c>
      <c r="AO171" s="1236">
        <f>IF($Q171=$V171,$Q171*BIBLE!AA85,$Q172*BIBLE!AA86)</f>
        <v>0</v>
      </c>
      <c r="AP171" s="1236">
        <f>IF($Q171=$V171,$Q171*BIBLE!AB85,$Q172*BIBLE!AB86)</f>
        <v>0</v>
      </c>
      <c r="AQ171" s="1236">
        <f>IF($Q171=$V171,$Q171*BIBLE!AC85,$Q172*BIBLE!AC86)</f>
        <v>0</v>
      </c>
      <c r="AR171" s="1236">
        <f>IF($Q171=$V171,$Q171*BIBLE!AD85,$Q172*BIBLE!AD86)</f>
        <v>0</v>
      </c>
    </row>
    <row r="172" spans="1:44" s="8" customFormat="1" ht="66" customHeight="1" x14ac:dyDescent="0.2">
      <c r="A172" s="1198" t="str">
        <f>BIBLE!E86</f>
        <v>PFA04a</v>
      </c>
      <c r="B172" s="134" t="str">
        <f>IF(P171&gt;=R171,BIBLE!F86,"")</f>
        <v>L’autre parent laisse entendre à votre enfant que vous ne l’aimez pas vraiment.</v>
      </c>
      <c r="C172" s="463" t="str">
        <f>BIBLE!O86</f>
        <v>Nulle / Très faible / Faible / Moyenne / Élevée / Très élevée / S.O.</v>
      </c>
      <c r="D172" s="1290">
        <f>BIBLE!L86</f>
        <v>2</v>
      </c>
      <c r="E172" s="19"/>
      <c r="F172" s="19"/>
      <c r="G172" s="19"/>
      <c r="H172" s="19"/>
      <c r="I172" s="19">
        <v>1</v>
      </c>
      <c r="J172" s="19"/>
      <c r="K172" s="19"/>
      <c r="L172" s="19"/>
      <c r="M172" s="19"/>
      <c r="N172" s="19"/>
      <c r="O172" s="19"/>
      <c r="P172" s="1561">
        <f>'TEST_pour PROTOTYPE'!D153</f>
        <v>4</v>
      </c>
      <c r="Q172" s="24">
        <f>P172*D172</f>
        <v>8</v>
      </c>
      <c r="R172" s="8" t="str">
        <f>IF(BIBLE!K86=0,"",BIBLE!K86)</f>
        <v/>
      </c>
      <c r="S172" s="16"/>
      <c r="T172" s="16"/>
      <c r="U172" s="16"/>
      <c r="V172" s="6"/>
      <c r="W172" s="16"/>
      <c r="X172" s="6"/>
      <c r="Y172" s="6"/>
      <c r="Z172" s="6"/>
      <c r="AA172" s="6"/>
      <c r="AB172" s="6"/>
      <c r="AC172" s="6"/>
      <c r="AE172" s="476"/>
      <c r="AF172" s="1711"/>
      <c r="AG172" s="1711"/>
      <c r="AH172" s="22"/>
      <c r="AI172" s="22"/>
      <c r="AJ172" s="22"/>
      <c r="AK172" s="1236"/>
      <c r="AL172" s="1236"/>
      <c r="AM172" s="1236"/>
      <c r="AN172" s="1236"/>
      <c r="AO172" s="1236"/>
      <c r="AP172" s="1236"/>
      <c r="AQ172" s="1236"/>
      <c r="AR172" s="1236"/>
    </row>
    <row r="173" spans="1:44" s="8" customFormat="1" ht="66" customHeight="1" x14ac:dyDescent="0.2">
      <c r="A173" s="1198" t="str">
        <f>BIBLE!E87</f>
        <v>PFA05</v>
      </c>
      <c r="B173" s="133" t="str">
        <f>BIBLE!F87</f>
        <v>L'autre parent laisse entendre à votre enfant qu’il ou elle n’est pas en sécurité avec vous.</v>
      </c>
      <c r="C173" s="463" t="str">
        <f>BIBLE!O87</f>
        <v>Nulle / Très faible / Faible / Moyenne / Élevée / Très élevée / S.O.</v>
      </c>
      <c r="D173" s="1290">
        <f>BIBLE!L87</f>
        <v>2</v>
      </c>
      <c r="E173" s="19"/>
      <c r="F173" s="19"/>
      <c r="G173" s="19"/>
      <c r="H173" s="46"/>
      <c r="I173" s="46"/>
      <c r="J173" s="46">
        <v>1</v>
      </c>
      <c r="K173" s="46"/>
      <c r="L173" s="46"/>
      <c r="M173" s="46"/>
      <c r="N173" s="46"/>
      <c r="O173" s="46"/>
      <c r="P173" s="1561">
        <f>'TEST_pour PROTOTYPE'!D154</f>
        <v>7</v>
      </c>
      <c r="Q173" s="24">
        <f t="shared" si="50"/>
        <v>14</v>
      </c>
      <c r="R173" s="8">
        <f>IF(BIBLE!K87=0,"",BIBLE!K87)</f>
        <v>4</v>
      </c>
      <c r="S173" s="16"/>
      <c r="T173" s="16"/>
      <c r="U173" s="16"/>
      <c r="V173" s="6">
        <f>IF(P173&gt;=R173,IF(Q173&gt;Q174,Q173,Q174),Q173)</f>
        <v>20</v>
      </c>
      <c r="X173" s="6">
        <f t="shared" ref="X173:AC173" si="52">IF(($P173&gt;=$R173),IF($Q173&gt;$Q174,X$109*$D173,X$109*$D174),X$109*$D173)</f>
        <v>0</v>
      </c>
      <c r="Y173" s="6">
        <f t="shared" si="52"/>
        <v>2</v>
      </c>
      <c r="Z173" s="6">
        <f t="shared" si="52"/>
        <v>4</v>
      </c>
      <c r="AA173" s="6">
        <f t="shared" si="52"/>
        <v>8</v>
      </c>
      <c r="AB173" s="6">
        <f t="shared" si="52"/>
        <v>14</v>
      </c>
      <c r="AC173" s="6">
        <f t="shared" si="52"/>
        <v>20</v>
      </c>
      <c r="AE173" s="476"/>
      <c r="AF173" s="1711"/>
      <c r="AG173" s="1711"/>
      <c r="AH173" s="1257">
        <f>IF($Q173=$V173,$Q173*BIBLE!S87,$Q174*BIBLE!S88)</f>
        <v>0</v>
      </c>
      <c r="AI173" s="1257">
        <f>IF($Q173=$V173,$Q173*BIBLE!T87,$Q174*BIBLE!T88)</f>
        <v>20</v>
      </c>
      <c r="AJ173" s="1257">
        <f>IF($Q173=$V173,$Q173*BIBLE!U87,$Q174*BIBLE!U88)</f>
        <v>0</v>
      </c>
      <c r="AK173" s="1239">
        <f>IF($Q173=$V173,$Q173*BIBLE!W87,$Q174*BIBLE!W88)</f>
        <v>0</v>
      </c>
      <c r="AL173" s="1239">
        <f>IF($Q173=$V173,$Q173*BIBLE!X87,$Q174*BIBLE!X88)</f>
        <v>20</v>
      </c>
      <c r="AM173" s="1239">
        <f>IF($Q173=$V173,$Q173*BIBLE!Y87,$Q174*BIBLE!Y88)</f>
        <v>0</v>
      </c>
      <c r="AN173" s="1239">
        <f>IF($Q173=$V173,$Q173*BIBLE!Z87,$Q174*BIBLE!Z88)</f>
        <v>0</v>
      </c>
      <c r="AO173" s="1239">
        <f>IF($Q173=$V173,$Q173*BIBLE!AA87,$Q174*BIBLE!AA88)</f>
        <v>0</v>
      </c>
      <c r="AP173" s="1239">
        <f>IF($Q173=$V173,$Q173*BIBLE!AB87,$Q174*BIBLE!AB88)</f>
        <v>0</v>
      </c>
      <c r="AQ173" s="1239">
        <f>IF($Q173=$V173,$Q173*BIBLE!AC87,$Q174*BIBLE!AC88)</f>
        <v>0</v>
      </c>
      <c r="AR173" s="1239">
        <f>IF($Q173=$V173,$Q173*BIBLE!AD87,$Q174*BIBLE!AD88)</f>
        <v>0</v>
      </c>
    </row>
    <row r="174" spans="1:44" s="8" customFormat="1" ht="66" customHeight="1" x14ac:dyDescent="0.2">
      <c r="A174" s="1198" t="str">
        <f>BIBLE!E88</f>
        <v>PFA05a</v>
      </c>
      <c r="B174" s="134" t="str">
        <f>IF(P173&gt;=R173,BIBLE!F88,"")</f>
        <v>L’autre parent laisse entendre à votre enfant que vous souffrez d’une maladie mentale ou que vous êtes instable psychologiquement.</v>
      </c>
      <c r="C174" s="463" t="str">
        <f>BIBLE!O88</f>
        <v>Nulle / Très faible / Faible / Moyenne / Élevée / Très élevée / S.O.</v>
      </c>
      <c r="D174" s="1290">
        <f>BIBLE!L88</f>
        <v>2</v>
      </c>
      <c r="E174" s="19"/>
      <c r="F174" s="19"/>
      <c r="G174" s="19"/>
      <c r="H174" s="47"/>
      <c r="I174" s="47"/>
      <c r="J174" s="47"/>
      <c r="K174" s="47">
        <v>1</v>
      </c>
      <c r="L174" s="47"/>
      <c r="M174" s="47"/>
      <c r="N174" s="47"/>
      <c r="O174" s="47"/>
      <c r="P174" s="1561">
        <f>'TEST_pour PROTOTYPE'!D155</f>
        <v>10</v>
      </c>
      <c r="Q174" s="24">
        <f t="shared" si="50"/>
        <v>20</v>
      </c>
      <c r="R174" s="8" t="str">
        <f>IF(BIBLE!K88=0,"",BIBLE!K88)</f>
        <v/>
      </c>
      <c r="S174" s="16"/>
      <c r="T174" s="16"/>
      <c r="U174" s="16"/>
      <c r="V174" s="6"/>
      <c r="W174" s="16"/>
      <c r="X174" s="6"/>
      <c r="Y174" s="6"/>
      <c r="Z174" s="6"/>
      <c r="AA174" s="6"/>
      <c r="AB174" s="6"/>
      <c r="AC174" s="6"/>
      <c r="AE174" s="476"/>
      <c r="AF174" s="1711"/>
      <c r="AG174" s="1711"/>
      <c r="AH174" s="22"/>
      <c r="AI174" s="22"/>
      <c r="AJ174" s="22"/>
      <c r="AK174" s="1236"/>
      <c r="AL174" s="1236"/>
      <c r="AM174" s="1236"/>
      <c r="AN174" s="1236"/>
      <c r="AO174" s="1236"/>
      <c r="AP174" s="1236"/>
      <c r="AQ174" s="1236"/>
      <c r="AR174" s="1236"/>
    </row>
    <row r="175" spans="1:44" s="8" customFormat="1" ht="66" customHeight="1" x14ac:dyDescent="0.2">
      <c r="A175" s="1198" t="str">
        <f>BIBLE!E89</f>
        <v>PFA06</v>
      </c>
      <c r="B175" s="133" t="str">
        <f>BIBLE!F89</f>
        <v>L'autre parent modifie certains faits concernant votre passé à son avantage ou à votre désavantage.</v>
      </c>
      <c r="C175" s="463" t="str">
        <f>BIBLE!O89</f>
        <v>Nulle / Très faible / Faible / Moyenne / Élevée / Très élevée / S.O.</v>
      </c>
      <c r="D175" s="1290">
        <f>BIBLE!L89</f>
        <v>2</v>
      </c>
      <c r="E175" s="19"/>
      <c r="F175" s="19"/>
      <c r="G175" s="19"/>
      <c r="H175" s="47"/>
      <c r="I175" s="47"/>
      <c r="J175" s="47">
        <v>1</v>
      </c>
      <c r="K175" s="47"/>
      <c r="L175" s="47"/>
      <c r="M175" s="47"/>
      <c r="N175" s="47"/>
      <c r="O175" s="47"/>
      <c r="P175" s="1561">
        <f>'TEST_pour PROTOTYPE'!D156</f>
        <v>7</v>
      </c>
      <c r="Q175" s="24">
        <f t="shared" si="50"/>
        <v>14</v>
      </c>
      <c r="R175" s="8">
        <f>IF(BIBLE!K89=0,"",BIBLE!K89)</f>
        <v>4</v>
      </c>
      <c r="S175" s="16"/>
      <c r="T175" s="16"/>
      <c r="U175" s="16"/>
      <c r="V175" s="6">
        <f>IF(P175&gt;=R175,IF(Q175&gt;Q176,Q175,Q176),Q175)</f>
        <v>21</v>
      </c>
      <c r="X175" s="6">
        <f t="shared" ref="X175:AC175" si="53">IF(($P175&gt;=$R175),IF($Q175&gt;$Q176,X$109*$D175,X$109*$D176),X$109*$D175)</f>
        <v>0</v>
      </c>
      <c r="Y175" s="6">
        <f t="shared" si="53"/>
        <v>3</v>
      </c>
      <c r="Z175" s="6">
        <f t="shared" si="53"/>
        <v>6</v>
      </c>
      <c r="AA175" s="6">
        <f t="shared" si="53"/>
        <v>12</v>
      </c>
      <c r="AB175" s="6">
        <f t="shared" si="53"/>
        <v>21</v>
      </c>
      <c r="AC175" s="6">
        <f t="shared" si="53"/>
        <v>30</v>
      </c>
      <c r="AE175" s="476"/>
      <c r="AF175" s="1711"/>
      <c r="AG175" s="1711"/>
      <c r="AH175" s="1257">
        <f>IF($Q175=$V175,$Q175*BIBLE!S89,$Q176*BIBLE!S90)</f>
        <v>0</v>
      </c>
      <c r="AI175" s="1257">
        <f>IF($Q175=$V175,$Q175*BIBLE!T89,$Q176*BIBLE!T90)</f>
        <v>21</v>
      </c>
      <c r="AJ175" s="1257">
        <f>IF($Q175=$V175,$Q175*BIBLE!U89,$Q176*BIBLE!U90)</f>
        <v>0</v>
      </c>
      <c r="AK175" s="1239">
        <f>IF($Q175=$V175,$Q175*BIBLE!W89,$Q176*BIBLE!W90)</f>
        <v>0</v>
      </c>
      <c r="AL175" s="1239">
        <f>IF($Q175=$V175,$Q175*BIBLE!X89,$Q176*BIBLE!X90)</f>
        <v>21</v>
      </c>
      <c r="AM175" s="1239">
        <f>IF($Q175=$V175,$Q175*BIBLE!Y89,$Q176*BIBLE!Y90)</f>
        <v>0</v>
      </c>
      <c r="AN175" s="1239">
        <f>IF($Q175=$V175,$Q175*BIBLE!Z89,$Q176*BIBLE!Z90)</f>
        <v>0</v>
      </c>
      <c r="AO175" s="1239">
        <f>IF($Q175=$V175,$Q175*BIBLE!AA89,$Q176*BIBLE!AA90)</f>
        <v>0</v>
      </c>
      <c r="AP175" s="1239">
        <f>IF($Q175=$V175,$Q175*BIBLE!AB89,$Q176*BIBLE!AB90)</f>
        <v>0</v>
      </c>
      <c r="AQ175" s="1239">
        <f>IF($Q175=$V175,$Q175*BIBLE!AC89,$Q176*BIBLE!AC90)</f>
        <v>0</v>
      </c>
      <c r="AR175" s="1239">
        <f>IF($Q175=$V175,$Q175*BIBLE!AD89,$Q176*BIBLE!AD90)</f>
        <v>0</v>
      </c>
    </row>
    <row r="176" spans="1:44" s="8" customFormat="1" ht="66" customHeight="1" x14ac:dyDescent="0.2">
      <c r="A176" s="1198" t="str">
        <f>BIBLE!E90</f>
        <v>PFA06a</v>
      </c>
      <c r="B176" s="134" t="str">
        <f>IF(P175&gt;=R175,BIBLE!F90,"")</f>
        <v xml:space="preserve">L'autre parent déforme les souvenirs de votre enfant (ex.: souvenirs de la petite enfance vus aujourd'hui négativement). </v>
      </c>
      <c r="C176" s="463" t="str">
        <f>BIBLE!O90</f>
        <v>Nulle / Très faible / Faible / Moyenne / Élevée / Très élevée / S.O.</v>
      </c>
      <c r="D176" s="1290">
        <f>BIBLE!L90</f>
        <v>3</v>
      </c>
      <c r="E176" s="19"/>
      <c r="F176" s="19"/>
      <c r="G176" s="19"/>
      <c r="H176" s="20"/>
      <c r="I176" s="20"/>
      <c r="J176" s="20">
        <v>1</v>
      </c>
      <c r="K176" s="20"/>
      <c r="L176" s="20"/>
      <c r="M176" s="20"/>
      <c r="N176" s="20"/>
      <c r="O176" s="20"/>
      <c r="P176" s="1561">
        <f>'TEST_pour PROTOTYPE'!D157</f>
        <v>7</v>
      </c>
      <c r="Q176" s="24">
        <f t="shared" si="50"/>
        <v>21</v>
      </c>
      <c r="R176" s="8" t="str">
        <f>IF(BIBLE!K90=0,"",BIBLE!K90)</f>
        <v/>
      </c>
      <c r="S176" s="16"/>
      <c r="T176" s="16"/>
      <c r="U176" s="16"/>
      <c r="V176" s="6"/>
      <c r="W176" s="16"/>
      <c r="X176" s="6"/>
      <c r="Y176" s="6"/>
      <c r="Z176" s="6"/>
      <c r="AA176" s="6"/>
      <c r="AB176" s="6"/>
      <c r="AC176" s="6"/>
      <c r="AE176" s="476"/>
      <c r="AF176" s="1711"/>
      <c r="AG176" s="1711"/>
      <c r="AH176" s="22"/>
      <c r="AI176" s="22"/>
      <c r="AJ176" s="22"/>
      <c r="AK176" s="1236"/>
      <c r="AL176" s="1236"/>
      <c r="AM176" s="1236"/>
      <c r="AN176" s="1236"/>
      <c r="AO176" s="1236"/>
      <c r="AP176" s="1236"/>
      <c r="AQ176" s="1236"/>
      <c r="AR176" s="1236"/>
    </row>
    <row r="177" spans="1:73" s="8" customFormat="1" ht="66" customHeight="1" x14ac:dyDescent="0.2">
      <c r="A177" s="1198" t="str">
        <f>BIBLE!E91</f>
        <v>PFA07</v>
      </c>
      <c r="B177" s="467" t="str">
        <f>BIBLE!F91</f>
        <v>L’autre parent culpabilise votre enfant de sa relation ou de son amour pour vous.</v>
      </c>
      <c r="C177" s="463" t="str">
        <f>BIBLE!O91</f>
        <v>Nulle / Très faible / Faible / Moyenne / Élevée / Très élevée / S.O.</v>
      </c>
      <c r="D177" s="1290">
        <f>BIBLE!L91</f>
        <v>1</v>
      </c>
      <c r="E177" s="19"/>
      <c r="F177" s="19"/>
      <c r="G177" s="19"/>
      <c r="H177" s="19"/>
      <c r="I177" s="19"/>
      <c r="J177" s="19">
        <v>1</v>
      </c>
      <c r="K177" s="19"/>
      <c r="L177" s="19"/>
      <c r="M177" s="19"/>
      <c r="N177" s="19"/>
      <c r="O177" s="19"/>
      <c r="P177" s="1561">
        <f>'TEST_pour PROTOTYPE'!D158</f>
        <v>7</v>
      </c>
      <c r="Q177" s="24">
        <f t="shared" si="50"/>
        <v>7</v>
      </c>
      <c r="R177" s="8">
        <f>IF(BIBLE!K91=0,"",BIBLE!K91)</f>
        <v>2</v>
      </c>
      <c r="S177" s="16"/>
      <c r="T177" s="16"/>
      <c r="U177" s="16"/>
      <c r="V177" s="6">
        <f>MAX(AS177:AS179)</f>
        <v>7</v>
      </c>
      <c r="X177" s="6">
        <f t="shared" ref="X177:AC177" si="54">MAX(AU177:AU179)</f>
        <v>0</v>
      </c>
      <c r="Y177" s="6">
        <f t="shared" si="54"/>
        <v>3</v>
      </c>
      <c r="Z177" s="6">
        <f t="shared" si="54"/>
        <v>6</v>
      </c>
      <c r="AA177" s="6">
        <f t="shared" si="54"/>
        <v>12</v>
      </c>
      <c r="AB177" s="6">
        <f t="shared" si="54"/>
        <v>21</v>
      </c>
      <c r="AC177" s="6">
        <f t="shared" si="54"/>
        <v>30</v>
      </c>
      <c r="AE177" s="476"/>
      <c r="AF177" s="1711"/>
      <c r="AG177" s="1711"/>
      <c r="AH177" s="22">
        <f>IF($Q177=$V177,$Q177*BIBLE!S91,IF(Test_Bible!$Q178=Test_Bible!$V177,Test_Bible!$Q178*BIBLE!S92,Test_Bible!$Q179*BIBLE!S93))</f>
        <v>3.5</v>
      </c>
      <c r="AI177" s="22">
        <f>IF($Q177=$V177,$Q177*BIBLE!T91,IF(Test_Bible!$Q178=Test_Bible!$V177,Test_Bible!$Q178*BIBLE!T92,Test_Bible!$Q179*BIBLE!T93))</f>
        <v>3.5</v>
      </c>
      <c r="AJ177" s="22">
        <f>IF($Q177=$V177,$Q177*BIBLE!U91,IF(Test_Bible!$Q178=Test_Bible!$V177,Test_Bible!$Q178*BIBLE!U92,Test_Bible!$Q179*BIBLE!U93))</f>
        <v>0</v>
      </c>
      <c r="AK177" s="1236">
        <f>IF($Q177=$V177,$Q177*BIBLE!W91,IF(Test_Bible!$Q178=Test_Bible!$V177,Test_Bible!$Q178*BIBLE!W92,Test_Bible!$Q179*BIBLE!W93))</f>
        <v>0</v>
      </c>
      <c r="AL177" s="1236">
        <f>IF($Q177=$V177,$Q177*BIBLE!X91,IF(Test_Bible!$Q178=Test_Bible!$V177,Test_Bible!$Q178*BIBLE!X92,Test_Bible!$Q179*BIBLE!X93))</f>
        <v>0</v>
      </c>
      <c r="AM177" s="1236">
        <f>IF($Q177=$V177,$Q177*BIBLE!Y91,IF(Test_Bible!$Q178=Test_Bible!$V177,Test_Bible!$Q178*BIBLE!Y92,Test_Bible!$Q179*BIBLE!Y93))</f>
        <v>7</v>
      </c>
      <c r="AN177" s="1236">
        <f>IF($Q177=$V177,$Q177*BIBLE!Z91,IF(Test_Bible!$Q178=Test_Bible!$V177,Test_Bible!$Q178*BIBLE!Z92,Test_Bible!$Q179*BIBLE!Z93))</f>
        <v>0</v>
      </c>
      <c r="AO177" s="1236">
        <f>IF($Q177=$V177,$Q177*BIBLE!AA91,IF(Test_Bible!$Q178=Test_Bible!$V177,Test_Bible!$Q178*BIBLE!AA92,Test_Bible!$Q179*BIBLE!AA93))</f>
        <v>0</v>
      </c>
      <c r="AP177" s="1236">
        <f>IF($Q177=$V177,$Q177*BIBLE!AB91,IF(Test_Bible!$Q178=Test_Bible!$V177,Test_Bible!$Q178*BIBLE!AB92,Test_Bible!$Q179*BIBLE!AB93))</f>
        <v>0</v>
      </c>
      <c r="AQ177" s="1236">
        <f>IF($Q177=$V177,$Q177*BIBLE!AC91,IF(Test_Bible!$Q178=Test_Bible!$V177,Test_Bible!$Q178*BIBLE!AC92,Test_Bible!$Q179*BIBLE!AC93))</f>
        <v>0</v>
      </c>
      <c r="AR177" s="1236">
        <f>IF($Q177=$V177,$Q177*BIBLE!AD91,IF(Test_Bible!$Q178=Test_Bible!$V177,Test_Bible!$Q178*BIBLE!AD92,Test_Bible!$Q179*BIBLE!AD93))</f>
        <v>0</v>
      </c>
      <c r="AS177" s="6">
        <f>Q177</f>
        <v>7</v>
      </c>
      <c r="AT177" s="16"/>
      <c r="AU177" s="6">
        <f t="shared" ref="AU177:AZ179" si="55">IF($Q177&gt;0,X$109*$D177,0)</f>
        <v>0</v>
      </c>
      <c r="AV177" s="6">
        <f t="shared" si="55"/>
        <v>1</v>
      </c>
      <c r="AW177" s="6">
        <f t="shared" si="55"/>
        <v>2</v>
      </c>
      <c r="AX177" s="6">
        <f t="shared" si="55"/>
        <v>4</v>
      </c>
      <c r="AY177" s="6">
        <f t="shared" si="55"/>
        <v>7</v>
      </c>
      <c r="AZ177" s="6">
        <f t="shared" si="55"/>
        <v>10</v>
      </c>
      <c r="BB177" s="17" t="s">
        <v>447</v>
      </c>
    </row>
    <row r="178" spans="1:73" s="8" customFormat="1" ht="66" customHeight="1" x14ac:dyDescent="0.2">
      <c r="A178" s="1198" t="str">
        <f>BIBLE!E92</f>
        <v>PFA07a</v>
      </c>
      <c r="B178" s="1213" t="str">
        <f>IF(P177&gt;=R177,BIBLE!F92,"")</f>
        <v>Il arrive que l’autre parent boude votre enfant lorsqu'il est temps de rentrer chez vous (pour votre tour de garde).</v>
      </c>
      <c r="C178" s="463" t="str">
        <f>BIBLE!O92</f>
        <v xml:space="preserve">Nulle / Très faible / Faible / Moyenne / Élevée / Très élevée / S.O. </v>
      </c>
      <c r="D178" s="1290">
        <f>BIBLE!L92</f>
        <v>2</v>
      </c>
      <c r="E178" s="19"/>
      <c r="F178" s="19"/>
      <c r="G178" s="19"/>
      <c r="H178" s="19">
        <v>1</v>
      </c>
      <c r="I178" s="19"/>
      <c r="J178" s="19"/>
      <c r="K178" s="19"/>
      <c r="L178" s="19"/>
      <c r="M178" s="19"/>
      <c r="N178" s="19"/>
      <c r="O178" s="19"/>
      <c r="P178" s="1561">
        <f>'TEST_pour PROTOTYPE'!D159</f>
        <v>2</v>
      </c>
      <c r="Q178" s="24">
        <f t="shared" si="50"/>
        <v>4</v>
      </c>
      <c r="R178" s="8">
        <f>IF(BIBLE!K92=0,"",BIBLE!K92)</f>
        <v>2</v>
      </c>
      <c r="S178" s="16"/>
      <c r="T178" s="16"/>
      <c r="U178" s="16"/>
      <c r="AE178" s="449">
        <f>Q178</f>
        <v>4</v>
      </c>
      <c r="AF178" s="1713"/>
      <c r="AG178" s="1713"/>
      <c r="AH178" s="22"/>
      <c r="AI178" s="22"/>
      <c r="AJ178" s="22"/>
      <c r="AK178" s="1236"/>
      <c r="AL178" s="1236"/>
      <c r="AM178" s="1236"/>
      <c r="AN178" s="1236"/>
      <c r="AO178" s="1236"/>
      <c r="AP178" s="1236"/>
      <c r="AQ178" s="1236"/>
      <c r="AR178" s="1236"/>
      <c r="AS178" s="6">
        <f>Q178</f>
        <v>4</v>
      </c>
      <c r="AT178" s="16"/>
      <c r="AU178" s="6">
        <f t="shared" si="55"/>
        <v>0</v>
      </c>
      <c r="AV178" s="6">
        <f t="shared" si="55"/>
        <v>2</v>
      </c>
      <c r="AW178" s="6">
        <f t="shared" si="55"/>
        <v>4</v>
      </c>
      <c r="AX178" s="6">
        <f t="shared" si="55"/>
        <v>8</v>
      </c>
      <c r="AY178" s="6">
        <f t="shared" si="55"/>
        <v>14</v>
      </c>
      <c r="AZ178" s="6">
        <f t="shared" si="55"/>
        <v>20</v>
      </c>
    </row>
    <row r="179" spans="1:73" s="8" customFormat="1" ht="66" customHeight="1" x14ac:dyDescent="0.2">
      <c r="A179" s="1198" t="str">
        <f>BIBLE!E93</f>
        <v>PFA07a1</v>
      </c>
      <c r="B179" s="134" t="str">
        <f>IF(P178&gt;=R178,BIBLE!F93,"")</f>
        <v xml:space="preserve">Il arrive à l’autre parent de se fâcher contre votre enfant lorsqu'il ou elle exprime de l'affection pour vous. </v>
      </c>
      <c r="C179" s="463" t="str">
        <f>BIBLE!O93</f>
        <v xml:space="preserve">Nulle / Très faible / Faible / Moyenne / Élevée / Très élevée / S.O. </v>
      </c>
      <c r="D179" s="1290">
        <f>BIBLE!L93</f>
        <v>3</v>
      </c>
      <c r="E179" s="19"/>
      <c r="F179" s="19"/>
      <c r="G179" s="19"/>
      <c r="H179" s="8">
        <v>1</v>
      </c>
      <c r="P179" s="1561">
        <f>'TEST_pour PROTOTYPE'!D160</f>
        <v>2</v>
      </c>
      <c r="Q179" s="24">
        <f t="shared" si="50"/>
        <v>6</v>
      </c>
      <c r="R179" s="8" t="str">
        <f>IF(BIBLE!K93=0,"",BIBLE!K93)</f>
        <v/>
      </c>
      <c r="S179" s="16"/>
      <c r="T179" s="16"/>
      <c r="U179" s="16"/>
      <c r="AE179" s="476"/>
      <c r="AF179" s="1711"/>
      <c r="AG179" s="1711"/>
      <c r="AH179" s="22"/>
      <c r="AI179" s="22"/>
      <c r="AJ179" s="22"/>
      <c r="AK179" s="1236"/>
      <c r="AL179" s="1236"/>
      <c r="AM179" s="1236"/>
      <c r="AN179" s="1236"/>
      <c r="AO179" s="1236"/>
      <c r="AP179" s="1236"/>
      <c r="AQ179" s="1236"/>
      <c r="AR179" s="1236"/>
      <c r="AS179" s="6">
        <f>Q179</f>
        <v>6</v>
      </c>
      <c r="AT179" s="16"/>
      <c r="AU179" s="6">
        <f t="shared" si="55"/>
        <v>0</v>
      </c>
      <c r="AV179" s="6">
        <f t="shared" si="55"/>
        <v>3</v>
      </c>
      <c r="AW179" s="6">
        <f t="shared" si="55"/>
        <v>6</v>
      </c>
      <c r="AX179" s="6">
        <f t="shared" si="55"/>
        <v>12</v>
      </c>
      <c r="AY179" s="6">
        <f t="shared" si="55"/>
        <v>21</v>
      </c>
      <c r="AZ179" s="6">
        <f t="shared" si="55"/>
        <v>30</v>
      </c>
    </row>
    <row r="180" spans="1:73" s="8" customFormat="1" ht="66" customHeight="1" x14ac:dyDescent="0.2">
      <c r="A180" s="1198" t="str">
        <f>BIBLE!E94</f>
        <v>PFA09</v>
      </c>
      <c r="B180" s="133" t="str">
        <f>BIBLE!F94</f>
        <v>Arrive-t-il que l'autre parent vous accable de reproches par courriel ou texto au retour des enfants (après votre tour de garde) ?</v>
      </c>
      <c r="C180" s="463" t="str">
        <f>BIBLE!O94</f>
        <v xml:space="preserve">Jamais / Rarement / Occasionnellement / Régulièrement / Souvent / Toujours / S.O. </v>
      </c>
      <c r="D180" s="1290">
        <f>BIBLE!L94</f>
        <v>1</v>
      </c>
      <c r="E180" s="19"/>
      <c r="F180" s="19"/>
      <c r="G180" s="19"/>
      <c r="H180" s="19"/>
      <c r="I180" s="19"/>
      <c r="J180" s="19">
        <v>1</v>
      </c>
      <c r="K180" s="19"/>
      <c r="L180" s="19"/>
      <c r="M180" s="19"/>
      <c r="N180" s="19"/>
      <c r="O180" s="19"/>
      <c r="P180" s="1561">
        <f>'TEST_pour PROTOTYPE'!D161</f>
        <v>7</v>
      </c>
      <c r="Q180" s="24">
        <f t="shared" si="50"/>
        <v>7</v>
      </c>
      <c r="R180" s="8">
        <f>IF(BIBLE!K94=0,"",BIBLE!K94)</f>
        <v>4</v>
      </c>
      <c r="S180" s="16"/>
      <c r="T180" s="16"/>
      <c r="U180" s="16"/>
      <c r="V180" s="6">
        <f>IF(P180&gt;=R180,IF(Q180&gt;Q181,Q180,Q181),Q180)</f>
        <v>8</v>
      </c>
      <c r="X180" s="6">
        <f t="shared" ref="X180:AC180" si="56">IF(($P180&gt;=$R180),IF($Q180&gt;$Q181,X$109*$D180,X$109*$D181),X$109*$D180)</f>
        <v>0</v>
      </c>
      <c r="Y180" s="6">
        <f t="shared" si="56"/>
        <v>2</v>
      </c>
      <c r="Z180" s="6">
        <f t="shared" si="56"/>
        <v>4</v>
      </c>
      <c r="AA180" s="6">
        <f t="shared" si="56"/>
        <v>8</v>
      </c>
      <c r="AB180" s="6">
        <f t="shared" si="56"/>
        <v>14</v>
      </c>
      <c r="AC180" s="6">
        <f t="shared" si="56"/>
        <v>20</v>
      </c>
      <c r="AE180" s="476"/>
      <c r="AF180" s="1711"/>
      <c r="AG180" s="1711"/>
      <c r="AH180" s="22">
        <f>IF($Q180=$V180,$Q180*BIBLE!S94,$Q181*BIBLE!S95)</f>
        <v>8</v>
      </c>
      <c r="AI180" s="22">
        <f>IF($Q180=$V180,$Q180*BIBLE!T94,$Q181*BIBLE!T95)</f>
        <v>0</v>
      </c>
      <c r="AJ180" s="22">
        <f>IF($Q180=$V180,$Q180*BIBLE!U94,$Q181*BIBLE!U95)</f>
        <v>0</v>
      </c>
      <c r="AK180" s="1236">
        <f>IF($Q180=$V180,$Q180*BIBLE!W94,$Q181*BIBLE!W95)</f>
        <v>0</v>
      </c>
      <c r="AL180" s="1236">
        <f>IF($Q180=$V180,$Q180*BIBLE!X94,$Q181*BIBLE!X95)</f>
        <v>0</v>
      </c>
      <c r="AM180" s="1236">
        <f>IF($Q180=$V180,$Q180*BIBLE!Y94,$Q181*BIBLE!Y95)</f>
        <v>8</v>
      </c>
      <c r="AN180" s="1236">
        <f>IF($Q180=$V180,$Q180*BIBLE!Z94,$Q181*BIBLE!Z95)</f>
        <v>0</v>
      </c>
      <c r="AO180" s="1236">
        <f>IF($Q180=$V180,$Q180*BIBLE!AA94,$Q181*BIBLE!AA95)</f>
        <v>0</v>
      </c>
      <c r="AP180" s="1236">
        <f>IF($Q180=$V180,$Q180*BIBLE!AB94,$Q181*BIBLE!AB95)</f>
        <v>0</v>
      </c>
      <c r="AQ180" s="1236">
        <f>IF($Q180=$V180,$Q180*BIBLE!AC94,$Q181*BIBLE!AC95)</f>
        <v>0</v>
      </c>
      <c r="AR180" s="1236">
        <f>IF($Q180=$V180,$Q180*BIBLE!AD94,$Q181*BIBLE!AD95)</f>
        <v>0</v>
      </c>
    </row>
    <row r="181" spans="1:73" s="8" customFormat="1" ht="66" customHeight="1" x14ac:dyDescent="0.2">
      <c r="A181" s="1198" t="str">
        <f>BIBLE!E95</f>
        <v>PFA09a</v>
      </c>
      <c r="B181" s="1213" t="str">
        <f>IF(P180&gt;=R180,BIBLE!F95,"")</f>
        <v>Est-ce que l'autre parent fait ou a déjà fait des menaces (claires ou voilées) de vous enlever les enfants ?</v>
      </c>
      <c r="C181" s="463" t="str">
        <f>BIBLE!O95</f>
        <v xml:space="preserve">Jamais / Rarement / Occasionnellement / Régulièrement / Souvent / Toujours / S.O. </v>
      </c>
      <c r="D181" s="1290">
        <f>IF(AND(P181&gt;=2,$P$27&gt;=3),BIBLE!M95,BIBLE!L95)</f>
        <v>2</v>
      </c>
      <c r="E181" s="19"/>
      <c r="F181" s="19"/>
      <c r="G181" s="19"/>
      <c r="H181" s="46"/>
      <c r="I181" s="46">
        <v>1</v>
      </c>
      <c r="J181" s="46"/>
      <c r="K181" s="46"/>
      <c r="L181" s="46"/>
      <c r="M181" s="46"/>
      <c r="N181" s="46"/>
      <c r="O181" s="46"/>
      <c r="P181" s="1561">
        <f>'TEST_pour PROTOTYPE'!D162</f>
        <v>4</v>
      </c>
      <c r="Q181" s="24">
        <f t="shared" si="50"/>
        <v>8</v>
      </c>
      <c r="R181" s="8" t="str">
        <f>IF(BIBLE!K95=0,"",BIBLE!K95)</f>
        <v/>
      </c>
      <c r="S181" s="16"/>
      <c r="T181" s="16"/>
      <c r="U181" s="16"/>
      <c r="V181" s="6"/>
      <c r="W181" s="16"/>
      <c r="AE181" s="449">
        <f>Q181</f>
        <v>8</v>
      </c>
      <c r="AF181" s="1713"/>
      <c r="AG181" s="1713"/>
      <c r="AH181" s="24"/>
      <c r="AI181" s="24"/>
      <c r="AJ181" s="24"/>
      <c r="AK181" s="1238"/>
      <c r="AL181" s="1238"/>
      <c r="AM181" s="1238"/>
      <c r="AN181" s="1238"/>
      <c r="AO181" s="1238"/>
      <c r="AP181" s="1238"/>
      <c r="AQ181" s="1238"/>
      <c r="AR181" s="1238"/>
    </row>
    <row r="182" spans="1:73" s="8" customFormat="1" ht="66" customHeight="1" x14ac:dyDescent="0.2">
      <c r="A182" s="1198" t="str">
        <f>BIBLE!E96</f>
        <v>PFA10</v>
      </c>
      <c r="B182" s="133" t="str">
        <f>BIBLE!F96</f>
        <v>L’autre parent vous salue lors de changements de garde, à l'école ou lors d'événements culturels ou sportifs.</v>
      </c>
      <c r="C182" s="463" t="str">
        <f>BIBLE!O96</f>
        <v>Toujours / Souvent / Régulièrement / Occasionnellement / Rarement / Jamais / S.O.</v>
      </c>
      <c r="D182" s="1290">
        <f>BIBLE!L96</f>
        <v>1</v>
      </c>
      <c r="E182" s="19"/>
      <c r="F182" s="19"/>
      <c r="G182" s="19"/>
      <c r="H182" s="47"/>
      <c r="I182" s="47">
        <v>1</v>
      </c>
      <c r="J182" s="47"/>
      <c r="K182" s="47"/>
      <c r="L182" s="47"/>
      <c r="M182" s="47"/>
      <c r="N182" s="47"/>
      <c r="O182" s="47"/>
      <c r="P182" s="1561">
        <f>'TEST_pour PROTOTYPE'!D163</f>
        <v>4</v>
      </c>
      <c r="Q182" s="24">
        <f t="shared" si="50"/>
        <v>4</v>
      </c>
      <c r="R182" s="8" t="str">
        <f>IF(BIBLE!K96=0,"",BIBLE!K96)</f>
        <v/>
      </c>
      <c r="S182" s="16"/>
      <c r="T182" s="16"/>
      <c r="U182" s="16"/>
      <c r="V182" s="6">
        <f>Q182</f>
        <v>4</v>
      </c>
      <c r="W182" s="16"/>
      <c r="X182" s="6">
        <f t="shared" ref="X182:AC182" si="57">IF($Q182&gt;0,X$109*$D182,0)</f>
        <v>0</v>
      </c>
      <c r="Y182" s="6">
        <f t="shared" si="57"/>
        <v>1</v>
      </c>
      <c r="Z182" s="6">
        <f t="shared" si="57"/>
        <v>2</v>
      </c>
      <c r="AA182" s="6">
        <f t="shared" si="57"/>
        <v>4</v>
      </c>
      <c r="AB182" s="6">
        <f t="shared" si="57"/>
        <v>7</v>
      </c>
      <c r="AC182" s="6">
        <f t="shared" si="57"/>
        <v>10</v>
      </c>
      <c r="AE182" s="476"/>
      <c r="AF182" s="1711"/>
      <c r="AG182" s="1711"/>
      <c r="AH182" s="22">
        <f>$V182*BIBLE!S96</f>
        <v>4</v>
      </c>
      <c r="AI182" s="22">
        <f>$V182*BIBLE!T96</f>
        <v>0</v>
      </c>
      <c r="AJ182" s="22">
        <f>$V182*BIBLE!U96</f>
        <v>0</v>
      </c>
      <c r="AK182" s="1236">
        <f>$V182*BIBLE!W96</f>
        <v>0</v>
      </c>
      <c r="AL182" s="1236">
        <f>$V182*BIBLE!X96</f>
        <v>0</v>
      </c>
      <c r="AM182" s="1236">
        <f>$V182*BIBLE!Y96</f>
        <v>4</v>
      </c>
      <c r="AN182" s="1236">
        <f>$V182*BIBLE!Z96</f>
        <v>0</v>
      </c>
      <c r="AO182" s="1236">
        <f>$V182*BIBLE!AA96</f>
        <v>0</v>
      </c>
      <c r="AP182" s="1236">
        <f>$V182*BIBLE!AB96</f>
        <v>0</v>
      </c>
      <c r="AQ182" s="1236">
        <f>$V182*BIBLE!AC96</f>
        <v>0</v>
      </c>
      <c r="AR182" s="1236">
        <f>$V182*BIBLE!AD96</f>
        <v>0</v>
      </c>
    </row>
    <row r="183" spans="1:73" s="8" customFormat="1" ht="66" customHeight="1" x14ac:dyDescent="0.2">
      <c r="A183" s="1198" t="str">
        <f>BIBLE!E97</f>
        <v>PFA11</v>
      </c>
      <c r="B183" s="133" t="str">
        <f>BIBLE!F97</f>
        <v xml:space="preserve">L'autre parent est d'avis que votre enfant est assez mature pour choisir où il doit vivre et avec quel parent.  </v>
      </c>
      <c r="C183" s="463" t="str">
        <f>BIBLE!O97</f>
        <v xml:space="preserve">Nulle / Très faible / Faible / Moyenne / Élevée / Très élevée / S.O. </v>
      </c>
      <c r="D183" s="1657">
        <f>IF($E$40&gt;=11,BIBLE!L97,BIBLE!M97)</f>
        <v>3</v>
      </c>
      <c r="E183" s="19"/>
      <c r="F183" s="19"/>
      <c r="G183" s="19"/>
      <c r="H183" s="47"/>
      <c r="I183" s="47"/>
      <c r="J183" s="47"/>
      <c r="K183" s="47">
        <v>1</v>
      </c>
      <c r="L183" s="47"/>
      <c r="M183" s="47"/>
      <c r="N183" s="47"/>
      <c r="O183" s="47"/>
      <c r="P183" s="1561">
        <f>'TEST_pour PROTOTYPE'!D164</f>
        <v>10</v>
      </c>
      <c r="Q183" s="24">
        <f>P183*D183</f>
        <v>30</v>
      </c>
      <c r="R183" s="8">
        <f>IF(BIBLE!K97=0,"",BIBLE!K97)</f>
        <v>4</v>
      </c>
      <c r="S183" s="16"/>
      <c r="T183" s="16"/>
      <c r="U183" s="16"/>
      <c r="V183" s="6">
        <f>IF(P183&gt;=R183,IF(Q183&gt;Q184,Q183,Q184),Q183)</f>
        <v>30</v>
      </c>
      <c r="X183" s="6">
        <f t="shared" ref="X183:AC183" si="58">IF(($P183&gt;=$R183),IF($Q183&gt;$Q184,X$109*$D183,X$109*$D184),X$109*$D183)</f>
        <v>0</v>
      </c>
      <c r="Y183" s="6">
        <f t="shared" si="58"/>
        <v>3</v>
      </c>
      <c r="Z183" s="6">
        <f t="shared" si="58"/>
        <v>6</v>
      </c>
      <c r="AA183" s="6">
        <f t="shared" si="58"/>
        <v>12</v>
      </c>
      <c r="AB183" s="6">
        <f t="shared" si="58"/>
        <v>21</v>
      </c>
      <c r="AC183" s="6">
        <f t="shared" si="58"/>
        <v>30</v>
      </c>
      <c r="AE183" s="476"/>
      <c r="AF183" s="1711"/>
      <c r="AG183" s="1711"/>
      <c r="AH183" s="22">
        <f>IF($Q183=$V183,$Q183*BIBLE!S97,$Q184*BIBLE!S98)</f>
        <v>0</v>
      </c>
      <c r="AI183" s="22">
        <f>IF($Q183=$V183,$Q183*BIBLE!T97,$Q184*BIBLE!T98)</f>
        <v>15</v>
      </c>
      <c r="AJ183" s="22">
        <f>IF($Q183=$V183,$Q183*BIBLE!U97,$Q184*BIBLE!U98)</f>
        <v>15</v>
      </c>
      <c r="AK183" s="1236">
        <f>IF($Q183=$V183,$Q183*BIBLE!W97,$Q184*BIBLE!W98)</f>
        <v>0</v>
      </c>
      <c r="AL183" s="1236">
        <f>IF($Q183=$V183,$Q183*BIBLE!X97,$Q184*BIBLE!X98)</f>
        <v>0</v>
      </c>
      <c r="AM183" s="1236">
        <f>IF($Q183=$V183,$Q183*BIBLE!Y97,$Q184*BIBLE!Y98)</f>
        <v>0</v>
      </c>
      <c r="AN183" s="1236">
        <f>IF($Q183=$V183,$Q183*BIBLE!Z97,$Q184*BIBLE!Z98)</f>
        <v>0</v>
      </c>
      <c r="AO183" s="1236">
        <f>IF($Q183=$V183,$Q183*BIBLE!AA97,$Q184*BIBLE!AA98)</f>
        <v>0</v>
      </c>
      <c r="AP183" s="1236">
        <f>IF($Q183=$V183,$Q183*BIBLE!AB97,$Q184*BIBLE!AB98)</f>
        <v>0</v>
      </c>
      <c r="AQ183" s="1236">
        <f>IF($Q183=$V183,$Q183*BIBLE!AC97,$Q184*BIBLE!AC98)</f>
        <v>0</v>
      </c>
      <c r="AR183" s="1236">
        <f>IF($Q183=$V183,$Q183*BIBLE!AD97,$Q184*BIBLE!AD98)</f>
        <v>30</v>
      </c>
    </row>
    <row r="184" spans="1:73" s="8" customFormat="1" ht="66" customHeight="1" x14ac:dyDescent="0.2">
      <c r="A184" s="1198" t="str">
        <f>BIBLE!E98</f>
        <v>PFA11a</v>
      </c>
      <c r="B184" s="134" t="str">
        <f>IF(P183&gt;=R183,BIBLE!F98,"")</f>
        <v>Est-ce que l'autre parent vous demande de respecter les désirs et les choix de votre enfant ?</v>
      </c>
      <c r="C184" s="463" t="str">
        <f>BIBLE!O98</f>
        <v xml:space="preserve">Jamais / Rarement / Occasionnellement / Régulièrement / Souvent / Toujours / S.O. </v>
      </c>
      <c r="D184" s="1657">
        <f>IF($E$40&gt;=11,BIBLE!L98,BIBLE!M98)</f>
        <v>3</v>
      </c>
      <c r="E184" s="19"/>
      <c r="F184" s="19"/>
      <c r="G184" s="19"/>
      <c r="H184" s="47"/>
      <c r="I184" s="47"/>
      <c r="J184" s="47">
        <v>1</v>
      </c>
      <c r="K184" s="47"/>
      <c r="L184" s="47"/>
      <c r="M184" s="47"/>
      <c r="N184" s="47"/>
      <c r="O184" s="47"/>
      <c r="P184" s="1561">
        <f>'TEST_pour PROTOTYPE'!D165</f>
        <v>7</v>
      </c>
      <c r="Q184" s="24">
        <f>P184*D184</f>
        <v>21</v>
      </c>
      <c r="R184" s="8" t="str">
        <f>IF(BIBLE!K98=0,"",BIBLE!K98)</f>
        <v/>
      </c>
      <c r="S184" s="16"/>
      <c r="T184" s="16"/>
      <c r="U184" s="16"/>
      <c r="V184" s="6"/>
      <c r="W184" s="16"/>
      <c r="X184" s="6"/>
      <c r="Y184" s="6"/>
      <c r="Z184" s="6"/>
      <c r="AA184" s="6"/>
      <c r="AB184" s="6"/>
      <c r="AC184" s="6"/>
      <c r="AE184" s="476"/>
      <c r="AF184" s="1711"/>
      <c r="AG184" s="1711"/>
      <c r="AH184" s="22"/>
      <c r="AI184" s="22"/>
      <c r="AJ184" s="22"/>
      <c r="AK184" s="1236"/>
      <c r="AL184" s="1236"/>
      <c r="AM184" s="1236"/>
      <c r="AN184" s="1236"/>
      <c r="AO184" s="1236"/>
      <c r="AP184" s="1236"/>
      <c r="AQ184" s="1236"/>
      <c r="AR184" s="1236"/>
    </row>
    <row r="185" spans="1:73" s="8" customFormat="1" ht="66" customHeight="1" x14ac:dyDescent="0.2">
      <c r="A185" s="1198" t="str">
        <f>BIBLE!E99</f>
        <v>PFA12</v>
      </c>
      <c r="B185" s="133" t="str">
        <f>BIBLE!F99</f>
        <v>L'autre parent questionne votre enfant à son retour de garde afin de connaître la routine (repas, dodo, activités, etc.) chez vous.</v>
      </c>
      <c r="C185" s="463" t="str">
        <f>BIBLE!O99</f>
        <v xml:space="preserve">Nulle / Très faible / Faible / Moyenne / Élevée / Très élevée / S.O.  </v>
      </c>
      <c r="D185" s="1657">
        <f>IF($E$40&lt;=10,BIBLE!L99,BIBLE!M99)</f>
        <v>1</v>
      </c>
      <c r="E185" s="19"/>
      <c r="F185" s="19"/>
      <c r="G185" s="19"/>
      <c r="H185" s="20"/>
      <c r="I185" s="20"/>
      <c r="J185" s="20"/>
      <c r="K185" s="20">
        <v>1</v>
      </c>
      <c r="L185" s="20"/>
      <c r="M185" s="20"/>
      <c r="N185" s="20"/>
      <c r="O185" s="20"/>
      <c r="P185" s="1561">
        <f>'TEST_pour PROTOTYPE'!D166</f>
        <v>10</v>
      </c>
      <c r="Q185" s="24">
        <f t="shared" si="50"/>
        <v>10</v>
      </c>
      <c r="R185" s="8" t="str">
        <f>IF(BIBLE!K99=0,"",BIBLE!K99)</f>
        <v/>
      </c>
      <c r="S185" s="16"/>
      <c r="T185" s="16"/>
      <c r="U185" s="16"/>
      <c r="V185" s="6">
        <f>Q185</f>
        <v>10</v>
      </c>
      <c r="W185" s="16"/>
      <c r="X185" s="6">
        <f t="shared" ref="X185:AC185" si="59">IF($Q185&gt;0,X$109*$D185,0)</f>
        <v>0</v>
      </c>
      <c r="Y185" s="6">
        <f t="shared" si="59"/>
        <v>1</v>
      </c>
      <c r="Z185" s="6">
        <f t="shared" si="59"/>
        <v>2</v>
      </c>
      <c r="AA185" s="6">
        <f t="shared" si="59"/>
        <v>4</v>
      </c>
      <c r="AB185" s="6">
        <f t="shared" si="59"/>
        <v>7</v>
      </c>
      <c r="AC185" s="6">
        <f t="shared" si="59"/>
        <v>10</v>
      </c>
      <c r="AE185" s="476"/>
      <c r="AF185" s="1711"/>
      <c r="AG185" s="1711"/>
      <c r="AH185" s="22">
        <f>$V185*BIBLE!S99</f>
        <v>0</v>
      </c>
      <c r="AI185" s="22">
        <f>$V185*BIBLE!T99</f>
        <v>0</v>
      </c>
      <c r="AJ185" s="22">
        <f>$V185*BIBLE!U99</f>
        <v>10</v>
      </c>
      <c r="AK185" s="1236">
        <f>$V185*BIBLE!W99</f>
        <v>0</v>
      </c>
      <c r="AL185" s="1236">
        <f>$V185*BIBLE!X99</f>
        <v>0</v>
      </c>
      <c r="AM185" s="1236">
        <f>$V185*BIBLE!Y99</f>
        <v>10</v>
      </c>
      <c r="AN185" s="1236">
        <f>$V185*BIBLE!Z99</f>
        <v>0</v>
      </c>
      <c r="AO185" s="1236">
        <f>$V185*BIBLE!AA99</f>
        <v>0</v>
      </c>
      <c r="AP185" s="1236">
        <f>$V185*BIBLE!AB99</f>
        <v>0</v>
      </c>
      <c r="AQ185" s="1236">
        <f>$V185*BIBLE!AC99</f>
        <v>0</v>
      </c>
      <c r="AR185" s="1236">
        <f>$V185*BIBLE!AD99</f>
        <v>0</v>
      </c>
    </row>
    <row r="186" spans="1:73" s="8" customFormat="1" ht="66" customHeight="1" x14ac:dyDescent="0.2">
      <c r="A186" s="1198" t="str">
        <f>BIBLE!E100</f>
        <v>PFA13</v>
      </c>
      <c r="B186" s="133" t="str">
        <f>BIBLE!F100</f>
        <v>L’autre parent vous dénigre en la présence de votre enfant.</v>
      </c>
      <c r="C186" s="463" t="str">
        <f>BIBLE!O100</f>
        <v xml:space="preserve">Jamais / Rarement / Occasionnellement / Régulièrement / Souvent / Toujours / S.O. </v>
      </c>
      <c r="D186" s="1290">
        <f>BIBLE!L100</f>
        <v>1</v>
      </c>
      <c r="E186" s="19"/>
      <c r="F186" s="19"/>
      <c r="G186" s="19"/>
      <c r="H186" s="19"/>
      <c r="I186" s="19">
        <v>1</v>
      </c>
      <c r="J186" s="19"/>
      <c r="K186" s="19"/>
      <c r="L186" s="19"/>
      <c r="M186" s="19"/>
      <c r="N186" s="19"/>
      <c r="O186" s="19"/>
      <c r="P186" s="1561">
        <f>'TEST_pour PROTOTYPE'!D167</f>
        <v>4</v>
      </c>
      <c r="Q186" s="24">
        <f t="shared" si="50"/>
        <v>4</v>
      </c>
      <c r="R186" s="8">
        <f>IF(BIBLE!K100=0,"",BIBLE!K100)</f>
        <v>4</v>
      </c>
      <c r="S186" s="16"/>
      <c r="T186" s="16"/>
      <c r="U186" s="16"/>
      <c r="V186" s="6">
        <f>IF(P186&gt;=R186,IF(SUM(Q187:Q189)&gt;Q186,SUM(Q187:Q189),Q186),Q186)</f>
        <v>26</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476"/>
      <c r="AF186" s="1711"/>
      <c r="AG186" s="1711"/>
      <c r="AH186" s="22">
        <f>IF($Q186=$V186,$Q186*BIBLE!S100,(Test_Bible!$Q187*BIBLE!S101+Test_Bible!$Q188*BIBLE!S102+$Q189*BIBLE!S103))</f>
        <v>14</v>
      </c>
      <c r="AI186" s="22">
        <f>IF($Q186=$V186,$Q186*BIBLE!T100,(Test_Bible!$Q187*BIBLE!T101+Test_Bible!$Q188*BIBLE!T102+$Q189*BIBLE!T103))</f>
        <v>12</v>
      </c>
      <c r="AJ186" s="22">
        <f>IF($Q186=$V186,$Q186*BIBLE!U100,(Test_Bible!$Q187*BIBLE!U101+Test_Bible!$Q188*BIBLE!U102+$Q189*BIBLE!U103))</f>
        <v>0</v>
      </c>
      <c r="AK186" s="1236">
        <f>IF($Q186=$V186,$Q186*BIBLE!W100,(Test_Bible!$Q187*BIBLE!W101+Test_Bible!$Q188*BIBLE!W102+$Q189*BIBLE!W103))</f>
        <v>0</v>
      </c>
      <c r="AL186" s="1236">
        <f>IF($Q186=$V186,$Q186*BIBLE!X100,(Test_Bible!$Q187*BIBLE!X101+Test_Bible!$Q188*BIBLE!X102+$Q189*BIBLE!X103))</f>
        <v>0</v>
      </c>
      <c r="AM186" s="1236">
        <f>IF($Q186=$V186,$Q186*BIBLE!Y100,(Test_Bible!$Q187*BIBLE!Y101+Test_Bible!$Q188*BIBLE!Y102+$Q189*BIBLE!Y103))</f>
        <v>0</v>
      </c>
      <c r="AN186" s="1236">
        <f>IF($Q186=$V186,$Q186*BIBLE!Z100,(Test_Bible!$Q187*BIBLE!Z101+Test_Bible!$Q188*BIBLE!Z102+$Q189*BIBLE!Z103))</f>
        <v>26</v>
      </c>
      <c r="AO186" s="1236">
        <f>IF($Q186=$V186,$Q186*BIBLE!AA100,(Test_Bible!$Q187*BIBLE!AA101+Test_Bible!$Q188*BIBLE!AA102+$Q189*BIBLE!AA103))</f>
        <v>0</v>
      </c>
      <c r="AP186" s="1236">
        <f>IF($Q186=$V186,$Q186*BIBLE!AB100,(Test_Bible!$Q187*BIBLE!AB101+Test_Bible!$Q188*BIBLE!AB102+$Q189*BIBLE!AB103))</f>
        <v>0</v>
      </c>
      <c r="AQ186" s="1236">
        <f>IF($Q186=$V186,$Q186*BIBLE!AC100,(Test_Bible!$Q187*BIBLE!AC101+Test_Bible!$Q188*BIBLE!AC102+$Q189*BIBLE!AC103))</f>
        <v>0</v>
      </c>
      <c r="AR186" s="1236">
        <f>IF($Q186=$V186,$Q186*BIBLE!AD100,(Test_Bible!$Q187*BIBLE!AD101+Test_Bible!$Q188*BIBLE!AD102+$Q189*BIBLE!AD103))</f>
        <v>0</v>
      </c>
      <c r="AS186" s="6">
        <f>Q186</f>
        <v>4</v>
      </c>
      <c r="AT186" s="16"/>
      <c r="AU186" s="6">
        <f t="shared" ref="AU186:AZ189" si="60">IF($Q186&gt;0,X$109*$D186,0)</f>
        <v>0</v>
      </c>
      <c r="AV186" s="6">
        <f t="shared" si="60"/>
        <v>1</v>
      </c>
      <c r="AW186" s="6">
        <f t="shared" si="60"/>
        <v>2</v>
      </c>
      <c r="AX186" s="6">
        <f t="shared" si="60"/>
        <v>4</v>
      </c>
      <c r="AY186" s="6">
        <f t="shared" si="60"/>
        <v>7</v>
      </c>
      <c r="AZ186" s="6">
        <f t="shared" si="60"/>
        <v>10</v>
      </c>
      <c r="BB186" s="17" t="s">
        <v>1020</v>
      </c>
    </row>
    <row r="187" spans="1:73" s="8" customFormat="1" ht="66" customHeight="1" x14ac:dyDescent="0.2">
      <c r="A187" s="1198" t="str">
        <f>BIBLE!E101</f>
        <v>PFA13a</v>
      </c>
      <c r="B187" s="1213" t="str">
        <f>IF($P$186&gt;=$R$186,BIBLE!F101,"")</f>
        <v>L'autre parent vous renvoie une image négative de vous-même en tant que parent, ridiculise vos décisions ou vous insulte.</v>
      </c>
      <c r="C187" s="463" t="str">
        <f>BIBLE!O101</f>
        <v xml:space="preserve">Jamais / Rarement / Occasionnellement / Régulièrement / Souvent / Toujours / S.O. </v>
      </c>
      <c r="D187" s="1290">
        <f>BIBLE!L101</f>
        <v>3</v>
      </c>
      <c r="E187" s="19"/>
      <c r="F187" s="19"/>
      <c r="G187" s="19"/>
      <c r="H187" s="19"/>
      <c r="I187" s="19">
        <v>1</v>
      </c>
      <c r="J187" s="19"/>
      <c r="K187" s="19"/>
      <c r="L187" s="19"/>
      <c r="M187" s="19"/>
      <c r="N187" s="19"/>
      <c r="O187" s="19"/>
      <c r="P187" s="1561">
        <f>'TEST_pour PROTOTYPE'!D168</f>
        <v>4</v>
      </c>
      <c r="Q187" s="24">
        <f t="shared" si="50"/>
        <v>12</v>
      </c>
      <c r="R187" s="8" t="str">
        <f>IF(BIBLE!K101=0,"",BIBLE!K101)</f>
        <v/>
      </c>
      <c r="S187" s="16"/>
      <c r="T187" s="16"/>
      <c r="U187" s="16"/>
      <c r="AE187" s="449">
        <f>Q187</f>
        <v>12</v>
      </c>
      <c r="AF187" s="1713"/>
      <c r="AG187" s="1713"/>
      <c r="AH187" s="24"/>
      <c r="AI187" s="24"/>
      <c r="AJ187" s="24"/>
      <c r="AK187" s="1238"/>
      <c r="AL187" s="1238"/>
      <c r="AM187" s="1238"/>
      <c r="AN187" s="1238"/>
      <c r="AO187" s="1238"/>
      <c r="AP187" s="1238"/>
      <c r="AQ187" s="1238"/>
      <c r="AR187" s="1238"/>
      <c r="AS187" s="6">
        <f>Q187</f>
        <v>12</v>
      </c>
      <c r="AT187" s="16"/>
      <c r="AU187" s="6">
        <f t="shared" si="60"/>
        <v>0</v>
      </c>
      <c r="AV187" s="6">
        <f t="shared" si="60"/>
        <v>3</v>
      </c>
      <c r="AW187" s="6">
        <f t="shared" si="60"/>
        <v>6</v>
      </c>
      <c r="AX187" s="6">
        <f t="shared" si="60"/>
        <v>12</v>
      </c>
      <c r="AY187" s="6">
        <f t="shared" si="60"/>
        <v>21</v>
      </c>
      <c r="AZ187" s="6">
        <f t="shared" si="60"/>
        <v>30</v>
      </c>
      <c r="BB187" s="6">
        <f>AS186</f>
        <v>4</v>
      </c>
      <c r="BD187" s="6">
        <f t="shared" ref="BD187:BJ187" si="61">AU186</f>
        <v>0</v>
      </c>
      <c r="BE187" s="6">
        <f t="shared" si="61"/>
        <v>1</v>
      </c>
      <c r="BF187" s="6">
        <f t="shared" si="61"/>
        <v>2</v>
      </c>
      <c r="BG187" s="6">
        <f t="shared" si="61"/>
        <v>4</v>
      </c>
      <c r="BH187" s="6">
        <f t="shared" si="61"/>
        <v>7</v>
      </c>
      <c r="BI187" s="6">
        <f t="shared" si="61"/>
        <v>10</v>
      </c>
      <c r="BJ187" s="6">
        <f t="shared" si="61"/>
        <v>0</v>
      </c>
      <c r="BK187" s="6">
        <f>BB187</f>
        <v>4</v>
      </c>
    </row>
    <row r="188" spans="1:73" s="8" customFormat="1" ht="66" customHeight="1" x14ac:dyDescent="0.2">
      <c r="A188" s="1198" t="str">
        <f>BIBLE!E102</f>
        <v>PFA13b</v>
      </c>
      <c r="B188" s="1213" t="str">
        <f>IF(AND($P$186&gt;=$R$186,$P$181=0),BIBLE!F102,"")</f>
        <v/>
      </c>
      <c r="C188" s="463" t="str">
        <f>BIBLE!O102</f>
        <v xml:space="preserve">Jamais / Rarement / Occasionnellement / Régulièrement / Souvent / Toujours / S.O. </v>
      </c>
      <c r="D188" s="1290">
        <f>BIBLE!L102</f>
        <v>3</v>
      </c>
      <c r="E188" s="19"/>
      <c r="F188" s="19"/>
      <c r="G188" s="19"/>
      <c r="H188" s="19"/>
      <c r="I188" s="19"/>
      <c r="J188" s="19"/>
      <c r="K188" s="19"/>
      <c r="L188" s="19"/>
      <c r="M188" s="19"/>
      <c r="N188" s="19"/>
      <c r="O188" s="19"/>
      <c r="P188" s="1561">
        <f>'TEST_pour PROTOTYPE'!D169</f>
        <v>0</v>
      </c>
      <c r="Q188" s="24">
        <f t="shared" si="50"/>
        <v>0</v>
      </c>
      <c r="R188" s="8" t="str">
        <f>IF(BIBLE!K102=0,"",BIBLE!K102)</f>
        <v/>
      </c>
      <c r="AE188" s="449">
        <f>Q188</f>
        <v>0</v>
      </c>
      <c r="AF188" s="1713"/>
      <c r="AG188" s="1713"/>
      <c r="AH188" s="24"/>
      <c r="AI188" s="24"/>
      <c r="AJ188" s="24"/>
      <c r="AK188" s="1238"/>
      <c r="AL188" s="1238"/>
      <c r="AM188" s="1238"/>
      <c r="AN188" s="1238"/>
      <c r="AO188" s="1238"/>
      <c r="AP188" s="1238"/>
      <c r="AQ188" s="1238"/>
      <c r="AR188" s="1238"/>
      <c r="AS188" s="6">
        <f>Q188</f>
        <v>0</v>
      </c>
      <c r="AU188" s="6">
        <f t="shared" si="60"/>
        <v>0</v>
      </c>
      <c r="AV188" s="6">
        <f t="shared" si="60"/>
        <v>0</v>
      </c>
      <c r="AW188" s="6">
        <f t="shared" si="60"/>
        <v>0</v>
      </c>
      <c r="AX188" s="6">
        <f t="shared" si="60"/>
        <v>0</v>
      </c>
      <c r="AY188" s="6">
        <f t="shared" si="60"/>
        <v>0</v>
      </c>
      <c r="AZ188" s="6">
        <f t="shared" si="60"/>
        <v>0</v>
      </c>
      <c r="BB188" s="6">
        <f>SUM(AS187:AS189)</f>
        <v>26</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26</v>
      </c>
    </row>
    <row r="189" spans="1:73" s="8" customFormat="1" ht="66" customHeight="1" x14ac:dyDescent="0.2">
      <c r="A189" s="1198" t="str">
        <f>BIBLE!E103</f>
        <v>PFA13c</v>
      </c>
      <c r="B189" s="1213" t="str">
        <f>IF($P$186&gt;=$R$186,BIBLE!F103,"")</f>
        <v>L'autre parent présente à votre entourage une vision négative de vos compétences parentales ou de votre santé mentale.</v>
      </c>
      <c r="C189" s="463" t="str">
        <f>BIBLE!O103</f>
        <v xml:space="preserve">Jamais / Rarement / Occasionnellement / Régulièrement / Souvent / Toujours / S.O. </v>
      </c>
      <c r="D189" s="1290">
        <f>BIBLE!L103</f>
        <v>2</v>
      </c>
      <c r="E189" s="19"/>
      <c r="F189" s="19"/>
      <c r="G189" s="19"/>
      <c r="H189" s="19"/>
      <c r="I189" s="19"/>
      <c r="J189" s="19">
        <v>1</v>
      </c>
      <c r="K189" s="19"/>
      <c r="L189" s="19"/>
      <c r="M189" s="19"/>
      <c r="N189" s="19"/>
      <c r="O189" s="19"/>
      <c r="P189" s="1561">
        <f>'TEST_pour PROTOTYPE'!D170</f>
        <v>7</v>
      </c>
      <c r="Q189" s="24">
        <f t="shared" si="50"/>
        <v>14</v>
      </c>
      <c r="R189" s="8" t="str">
        <f>IF(BIBLE!K103=0,"",BIBLE!K103)</f>
        <v/>
      </c>
      <c r="AE189" s="449">
        <f>Q189</f>
        <v>14</v>
      </c>
      <c r="AF189" s="1713"/>
      <c r="AG189" s="1713"/>
      <c r="AH189" s="24"/>
      <c r="AI189" s="24"/>
      <c r="AJ189" s="24"/>
      <c r="AK189" s="1238"/>
      <c r="AL189" s="1238"/>
      <c r="AM189" s="1238"/>
      <c r="AN189" s="1238"/>
      <c r="AO189" s="1238"/>
      <c r="AP189" s="1238"/>
      <c r="AQ189" s="1238"/>
      <c r="AR189" s="1238"/>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x14ac:dyDescent="0.2">
      <c r="A190" s="1198" t="str">
        <f>BIBLE!E104</f>
        <v>PFA14</v>
      </c>
      <c r="B190" s="133" t="str">
        <f>IF(P42&lt;&gt;1,BIBLE!F104,"")</f>
        <v/>
      </c>
      <c r="C190" s="463" t="str">
        <f>BIBLE!O104</f>
        <v xml:space="preserve">Jamais / Rarement / Occasionnellement / Régulièrement / Souvent / Toujours / S.O. </v>
      </c>
      <c r="D190" s="1290">
        <f>BIBLE!L104</f>
        <v>1</v>
      </c>
      <c r="E190" s="19"/>
      <c r="F190" s="19"/>
      <c r="G190" s="19"/>
      <c r="H190" s="19"/>
      <c r="I190" s="19"/>
      <c r="J190" s="19"/>
      <c r="K190" s="19"/>
      <c r="L190" s="19"/>
      <c r="M190" s="19"/>
      <c r="N190" s="19"/>
      <c r="O190" s="19"/>
      <c r="P190" s="1561">
        <f>'TEST_pour PROTOTYPE'!D171</f>
        <v>0</v>
      </c>
      <c r="Q190" s="24">
        <f t="shared" si="50"/>
        <v>0</v>
      </c>
      <c r="R190" s="8" t="str">
        <f>IF(BIBLE!K104=0,"",BIBLE!K104)</f>
        <v/>
      </c>
      <c r="V190" s="6">
        <f>Q190</f>
        <v>0</v>
      </c>
      <c r="X190" s="6">
        <f t="shared" ref="X190:AC190" si="63">IF($Q190&gt;0,X$109*$D190,0)</f>
        <v>0</v>
      </c>
      <c r="Y190" s="6">
        <f t="shared" si="63"/>
        <v>0</v>
      </c>
      <c r="Z190" s="6">
        <f t="shared" si="63"/>
        <v>0</v>
      </c>
      <c r="AA190" s="6">
        <f t="shared" si="63"/>
        <v>0</v>
      </c>
      <c r="AB190" s="6">
        <f t="shared" si="63"/>
        <v>0</v>
      </c>
      <c r="AC190" s="6">
        <f t="shared" si="63"/>
        <v>0</v>
      </c>
      <c r="AE190" s="476"/>
      <c r="AF190" s="1711"/>
      <c r="AG190" s="1711"/>
      <c r="AH190" s="22">
        <f>$V190*BIBLE!S104</f>
        <v>0</v>
      </c>
      <c r="AI190" s="22">
        <f>$V190*BIBLE!T104</f>
        <v>0</v>
      </c>
      <c r="AJ190" s="22">
        <f>$V190*BIBLE!U104</f>
        <v>0</v>
      </c>
      <c r="AK190" s="1236">
        <f>$V190*BIBLE!W104</f>
        <v>0</v>
      </c>
      <c r="AL190" s="1236">
        <f>$V190*BIBLE!X104</f>
        <v>0</v>
      </c>
      <c r="AM190" s="1236">
        <f>$V190*BIBLE!Y104</f>
        <v>0</v>
      </c>
      <c r="AN190" s="1236">
        <f>$V190*BIBLE!Z104</f>
        <v>0</v>
      </c>
      <c r="AO190" s="1236">
        <f>$V190*BIBLE!AA104</f>
        <v>0</v>
      </c>
      <c r="AP190" s="1236">
        <f>$V190*BIBLE!AB104</f>
        <v>0</v>
      </c>
      <c r="AQ190" s="1236">
        <f>$V190*BIBLE!AC104</f>
        <v>0</v>
      </c>
      <c r="AR190" s="1236">
        <f>$V190*BIBLE!AD104</f>
        <v>0</v>
      </c>
    </row>
    <row r="191" spans="1:73" s="7" customFormat="1" ht="63" customHeight="1" x14ac:dyDescent="0.2">
      <c r="A191" s="1198" t="str">
        <f>BIBLE!E105</f>
        <v>PFA15</v>
      </c>
      <c r="B191" s="133" t="str">
        <f>IF(P46&lt;&gt;1,BIBLE!F105,"")</f>
        <v>L'autre parent laisse entendre qu'il ou elle représente la vraie famille de votre enfant.</v>
      </c>
      <c r="C191" s="463" t="str">
        <f>BIBLE!O105</f>
        <v xml:space="preserve">Nulle / Très faible / Faible / Moyenne / Élevée / Très élevée / S.O.   </v>
      </c>
      <c r="D191" s="1290">
        <f>BIBLE!L105</f>
        <v>2</v>
      </c>
      <c r="E191" s="19"/>
      <c r="F191" s="19"/>
      <c r="G191" s="19"/>
      <c r="H191" s="47"/>
      <c r="I191" s="47"/>
      <c r="J191" s="47">
        <v>1</v>
      </c>
      <c r="K191" s="47"/>
      <c r="L191" s="47"/>
      <c r="M191" s="47"/>
      <c r="N191" s="47"/>
      <c r="O191" s="47"/>
      <c r="P191" s="1561">
        <f>'TEST_pour PROTOTYPE'!D172</f>
        <v>2</v>
      </c>
      <c r="Q191" s="24">
        <f t="shared" si="50"/>
        <v>4</v>
      </c>
      <c r="R191" s="8">
        <f>IF(BIBLE!K105=0,"",BIBLE!K105)</f>
        <v>4</v>
      </c>
      <c r="S191" s="16"/>
      <c r="T191" s="16"/>
      <c r="U191" s="16"/>
      <c r="V191" s="6">
        <f>IF(P191&gt;=R191,IF(Q191&gt;Q192,Q191,Q192),Q191)</f>
        <v>4</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477"/>
      <c r="AF191" s="38"/>
      <c r="AG191" s="38"/>
      <c r="AH191" s="22">
        <f>IF($Q191=$V191,$Q191*BIBLE!S105,$Q192*BIBLE!S106)</f>
        <v>0</v>
      </c>
      <c r="AI191" s="22">
        <f>IF($Q191=$V191,$Q191*BIBLE!T105,$Q192*BIBLE!T106)</f>
        <v>4</v>
      </c>
      <c r="AJ191" s="22">
        <f>IF($Q191=$V191,$Q191*BIBLE!U105,$Q192*BIBLE!U106)</f>
        <v>0</v>
      </c>
      <c r="AK191" s="1236">
        <f>IF($Q191=$V191,$Q191*BIBLE!W105,$Q192*BIBLE!W106)</f>
        <v>0</v>
      </c>
      <c r="AL191" s="1236">
        <f>IF($Q191=$V191,$Q191*BIBLE!X105,$Q192*BIBLE!X106)</f>
        <v>0</v>
      </c>
      <c r="AM191" s="1236">
        <f>IF($Q191=$V191,$Q191*BIBLE!Y105,$Q192*BIBLE!Y106)</f>
        <v>0</v>
      </c>
      <c r="AN191" s="1236">
        <f>IF($Q191=$V191,$Q191*BIBLE!Z105,$Q192*BIBLE!Z106)</f>
        <v>4</v>
      </c>
      <c r="AO191" s="1236">
        <f>IF($Q191=$V191,$Q191*BIBLE!AA105,$Q192*BIBLE!AA106)</f>
        <v>0</v>
      </c>
      <c r="AP191" s="1236">
        <f>IF($Q191=$V191,$Q191*BIBLE!AB105,$Q192*BIBLE!AB106)</f>
        <v>0</v>
      </c>
      <c r="AQ191" s="1236">
        <f>IF($Q191=$V191,$Q191*BIBLE!AC105,$Q192*BIBLE!AC106)</f>
        <v>0</v>
      </c>
      <c r="AR191" s="1236">
        <f>IF($Q191=$V191,$Q191*BIBLE!AD105,$Q192*BIBLE!AD106)</f>
        <v>0</v>
      </c>
    </row>
    <row r="192" spans="1:73" s="7" customFormat="1" ht="63" customHeight="1" x14ac:dyDescent="0.2">
      <c r="A192" s="1198" t="str">
        <f>BIBLE!E106</f>
        <v>PFA15a</v>
      </c>
      <c r="B192" s="134" t="str">
        <f>IF(P191&gt;=R191,BIBLE!F106,"")</f>
        <v/>
      </c>
      <c r="C192" s="463" t="str">
        <f>BIBLE!O106</f>
        <v xml:space="preserve">Nulle / Très faible / Faible / Moyenne / Élevée / Très élevée / S.O.   </v>
      </c>
      <c r="D192" s="1290">
        <f>BIBLE!L106</f>
        <v>3</v>
      </c>
      <c r="E192" s="19"/>
      <c r="F192" s="19"/>
      <c r="G192" s="19"/>
      <c r="H192" s="20"/>
      <c r="I192" s="20"/>
      <c r="J192" s="20"/>
      <c r="K192" s="20"/>
      <c r="L192" s="20"/>
      <c r="M192" s="20"/>
      <c r="N192" s="20"/>
      <c r="O192" s="20"/>
      <c r="P192" s="1561">
        <f>'TEST_pour PROTOTYPE'!D173</f>
        <v>0</v>
      </c>
      <c r="Q192" s="24">
        <f t="shared" si="50"/>
        <v>0</v>
      </c>
      <c r="R192" s="8" t="str">
        <f>IF(BIBLE!K106=0,"",BIBLE!K106)</f>
        <v/>
      </c>
      <c r="S192" s="8"/>
      <c r="T192" s="8"/>
      <c r="U192" s="8"/>
      <c r="V192" s="6"/>
      <c r="W192" s="8"/>
      <c r="X192" s="6"/>
      <c r="Y192" s="6"/>
      <c r="Z192" s="6"/>
      <c r="AA192" s="6"/>
      <c r="AB192" s="6"/>
      <c r="AC192" s="6"/>
      <c r="AE192" s="477"/>
      <c r="AF192" s="38"/>
      <c r="AG192" s="38"/>
      <c r="AH192" s="69"/>
      <c r="AI192" s="69"/>
      <c r="AJ192" s="69"/>
      <c r="AK192" s="683"/>
      <c r="AL192" s="683"/>
      <c r="AM192" s="683"/>
      <c r="AN192" s="683"/>
      <c r="AO192" s="683"/>
      <c r="AP192" s="683"/>
      <c r="AQ192" s="683"/>
      <c r="AR192" s="683"/>
      <c r="AU192" s="1261"/>
      <c r="AV192" s="1261"/>
      <c r="AW192" s="1261"/>
      <c r="AX192" s="1261"/>
      <c r="AY192" s="1261"/>
      <c r="AZ192" s="1261"/>
      <c r="BA192" s="1261"/>
      <c r="BB192" s="7" t="s">
        <v>1021</v>
      </c>
      <c r="BC192" s="1261"/>
      <c r="BD192" s="1261"/>
      <c r="BE192" s="1261"/>
      <c r="BF192" s="1261"/>
      <c r="BG192" s="1261"/>
      <c r="BH192" s="1261"/>
      <c r="BI192" s="1261"/>
      <c r="BJ192" s="1261"/>
      <c r="BK192" s="1261"/>
      <c r="BL192" s="1261"/>
      <c r="BM192" s="7" t="s">
        <v>1022</v>
      </c>
      <c r="BU192" s="7" t="s">
        <v>1023</v>
      </c>
    </row>
    <row r="193" spans="1:72" s="7" customFormat="1" ht="63" customHeight="1" x14ac:dyDescent="0.2">
      <c r="A193" s="1198" t="str">
        <f>BIBLE!E107</f>
        <v>PFA16</v>
      </c>
      <c r="B193" s="133" t="str">
        <f>BIBLE!F107</f>
        <v>L'autre parent impose des changements d’horaires sans vous consulter au préalable et sans votre autorisation.</v>
      </c>
      <c r="C193" s="463" t="str">
        <f>BIBLE!O107</f>
        <v xml:space="preserve">Jamais / Rarement / Occasionnellement / Régulièrement / Souvent / Toujours / S.O. </v>
      </c>
      <c r="D193" s="1290">
        <f>BIBLE!L107</f>
        <v>2</v>
      </c>
      <c r="E193" s="19"/>
      <c r="F193" s="19"/>
      <c r="G193" s="19"/>
      <c r="H193" s="19"/>
      <c r="I193" s="19"/>
      <c r="J193" s="19">
        <v>1</v>
      </c>
      <c r="K193" s="19"/>
      <c r="L193" s="19"/>
      <c r="M193" s="19"/>
      <c r="N193" s="19"/>
      <c r="O193" s="19"/>
      <c r="P193" s="1561">
        <f>'TEST_pour PROTOTYPE'!D174</f>
        <v>7</v>
      </c>
      <c r="Q193" s="24">
        <f t="shared" si="50"/>
        <v>14</v>
      </c>
      <c r="R193" s="8">
        <f>IF(BIBLE!K107=0,"",BIBLE!K107)</f>
        <v>2</v>
      </c>
      <c r="S193" s="8"/>
      <c r="T193" s="8"/>
      <c r="U193" s="8"/>
      <c r="V193" s="6">
        <f>MAX(AS193,SUM(BD194:BD195))</f>
        <v>29</v>
      </c>
      <c r="X193" s="6">
        <f t="shared" ref="X193:AC193" si="65">MAX(BF193,SUM(BF194:BF195))</f>
        <v>0</v>
      </c>
      <c r="Y193" s="6">
        <f>MAX(BG193,SUM(BG194:BG195))</f>
        <v>5</v>
      </c>
      <c r="Z193" s="6">
        <f t="shared" si="65"/>
        <v>10</v>
      </c>
      <c r="AA193" s="6">
        <f t="shared" si="65"/>
        <v>20</v>
      </c>
      <c r="AB193" s="6">
        <f t="shared" si="65"/>
        <v>35</v>
      </c>
      <c r="AC193" s="6">
        <f t="shared" si="65"/>
        <v>50</v>
      </c>
      <c r="AE193" s="477"/>
      <c r="AF193" s="38"/>
      <c r="AG193" s="38"/>
      <c r="AH193" s="69">
        <f>IF($Q193=$V193,$Q193*BIBLE!S107,IF($Q196&gt;=$Q195,(Test_Bible!$Q196*BIBLE!S110+Test_Bible!$Q194*BIBLE!S108),(Test_Bible!$Q195*BIBLE!S109+Test_Bible!$Q194*BIBLE!S108)))</f>
        <v>29</v>
      </c>
      <c r="AI193" s="69">
        <f>IF($Q193=$V193,$Q193*BIBLE!T107,IF($Q196&gt;=$Q195,(Test_Bible!$Q196*BIBLE!T110+Test_Bible!$Q194*BIBLE!T108),(Test_Bible!$Q195*BIBLE!T109+Test_Bible!$Q194*BIBLE!T108)))</f>
        <v>0</v>
      </c>
      <c r="AJ193" s="69">
        <f>IF($Q193=$V193,$Q193*BIBLE!U107,IF($Q196&gt;=$Q195,(Test_Bible!$Q196*BIBLE!U110+Test_Bible!$Q194*BIBLE!U108),(Test_Bible!$Q195*BIBLE!U109+Test_Bible!$Q194*BIBLE!U108)))</f>
        <v>0</v>
      </c>
      <c r="AK193" s="683">
        <f>IF($Q193=$V193,$Q193*BIBLE!W107,IF($Q196&gt;=$Q195,(Test_Bible!$Q196*BIBLE!W110+Test_Bible!$Q194*BIBLE!W108),(Test_Bible!$Q195*BIBLE!W109+Test_Bible!$Q194*BIBLE!W108)))</f>
        <v>0</v>
      </c>
      <c r="AL193" s="683">
        <f>IF($Q193=$V193,$Q193*BIBLE!X107,IF($Q196&gt;=$Q195,(Test_Bible!$Q196*BIBLE!X110+Test_Bible!$Q194*BIBLE!X108),(Test_Bible!$Q195*BIBLE!X109+Test_Bible!$Q194*BIBLE!X108)))</f>
        <v>0</v>
      </c>
      <c r="AM193" s="683">
        <f>IF($Q193=$V193,$Q193*BIBLE!Y107,IF($Q196&gt;=$Q195,(Test_Bible!$Q196*BIBLE!Y110+Test_Bible!$Q194*BIBLE!Y108),(Test_Bible!$Q195*BIBLE!Y109+Test_Bible!$Q194*BIBLE!Y108)))</f>
        <v>0</v>
      </c>
      <c r="AN193" s="683">
        <f>IF($Q193=$V193,$Q193*BIBLE!Z107,IF($Q196&gt;=$Q195,(Test_Bible!$Q196*BIBLE!Z110+Test_Bible!$Q194*BIBLE!Z108),(Test_Bible!$Q195*BIBLE!Z109+Test_Bible!$Q194*BIBLE!Z108)))</f>
        <v>0</v>
      </c>
      <c r="AO193" s="683">
        <f>IF($Q193=$V193,$Q193*BIBLE!AA107,IF($Q196&gt;=$Q195,(Test_Bible!$Q196*BIBLE!AA110+Test_Bible!$Q194*BIBLE!AA108),(Test_Bible!$Q195*BIBLE!AA109+Test_Bible!$Q194*BIBLE!AA108)))</f>
        <v>29</v>
      </c>
      <c r="AP193" s="683">
        <f>IF($Q193=$V193,$Q193*BIBLE!AB107,IF($Q196&gt;=$Q195,(Test_Bible!$Q196*BIBLE!AB110+Test_Bible!$Q194*BIBLE!AB108),(Test_Bible!$Q195*BIBLE!AB109+Test_Bible!$Q194*BIBLE!AB108)))</f>
        <v>0</v>
      </c>
      <c r="AQ193" s="683">
        <f>IF($Q193=$V193,$Q193*BIBLE!AC107,IF($Q196&gt;=$Q195,(Test_Bible!$Q196*BIBLE!AC110+Test_Bible!$Q194*BIBLE!AC108),(Test_Bible!$Q195*BIBLE!AC109+Test_Bible!$Q194*BIBLE!AC108)))</f>
        <v>0</v>
      </c>
      <c r="AR193" s="683">
        <f>IF($Q193=$V193,$Q193*BIBLE!AD107,IF($Q196&gt;=$Q195,(Test_Bible!$Q196*BIBLE!AD110+Test_Bible!$Q194*BIBLE!AD108),(Test_Bible!$Q195*BIBLE!AD109+Test_Bible!$Q194*BIBLE!AD108)))</f>
        <v>0</v>
      </c>
      <c r="AS193" s="6">
        <f>Q193</f>
        <v>14</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14</v>
      </c>
      <c r="BE193" s="8"/>
      <c r="BF193" s="6">
        <f t="shared" ref="BF193:BK193" si="67">IF(($P193&gt;$R193),IF($Q193&gt;$Q194,X$109*$D193,X$109*$D194),0)</f>
        <v>0</v>
      </c>
      <c r="BG193" s="6">
        <f t="shared" si="67"/>
        <v>2</v>
      </c>
      <c r="BH193" s="6">
        <f t="shared" si="67"/>
        <v>4</v>
      </c>
      <c r="BI193" s="6">
        <f t="shared" si="67"/>
        <v>8</v>
      </c>
      <c r="BJ193" s="6">
        <f t="shared" si="67"/>
        <v>14</v>
      </c>
      <c r="BK193" s="6">
        <f t="shared" si="67"/>
        <v>20</v>
      </c>
      <c r="BM193" s="525">
        <f>BD193</f>
        <v>14</v>
      </c>
      <c r="BO193" s="525">
        <f t="shared" ref="BO193:BT193" si="68">BF193</f>
        <v>0</v>
      </c>
      <c r="BP193" s="525">
        <f t="shared" si="68"/>
        <v>2</v>
      </c>
      <c r="BQ193" s="525">
        <f t="shared" si="68"/>
        <v>4</v>
      </c>
      <c r="BR193" s="525">
        <f t="shared" si="68"/>
        <v>8</v>
      </c>
      <c r="BS193" s="525">
        <f t="shared" si="68"/>
        <v>14</v>
      </c>
      <c r="BT193" s="525">
        <f t="shared" si="68"/>
        <v>20</v>
      </c>
    </row>
    <row r="194" spans="1:72" s="7" customFormat="1" ht="63" customHeight="1" x14ac:dyDescent="0.2">
      <c r="A194" s="1198" t="str">
        <f>BIBLE!E108</f>
        <v>PFA16a</v>
      </c>
      <c r="B194" s="134" t="str">
        <f>IF(P193&gt;=R193,BIBLE!F108,"")</f>
        <v>Arrive-t-il que l'autre parent ramène votre enfant à la maison à l'heure qui lui convient, sans respecter l'entente initiale ?</v>
      </c>
      <c r="C194" s="463" t="str">
        <f>BIBLE!O108</f>
        <v xml:space="preserve">Jamais / Rarement / Occasionnellement / Régulièrement / Souvent / Toujours / S.O. </v>
      </c>
      <c r="D194" s="1290">
        <f>BIBLE!L108</f>
        <v>2</v>
      </c>
      <c r="E194" s="19"/>
      <c r="F194" s="19"/>
      <c r="G194" s="19"/>
      <c r="H194" s="19"/>
      <c r="I194" s="19">
        <v>1</v>
      </c>
      <c r="J194" s="19"/>
      <c r="K194" s="19"/>
      <c r="L194" s="19"/>
      <c r="M194" s="19"/>
      <c r="N194" s="19"/>
      <c r="O194" s="19"/>
      <c r="P194" s="1561">
        <f>'TEST_pour PROTOTYPE'!D175</f>
        <v>4</v>
      </c>
      <c r="Q194" s="24">
        <f t="shared" si="50"/>
        <v>8</v>
      </c>
      <c r="R194" s="8" t="str">
        <f>IF(BIBLE!K108=0,"",BIBLE!K108)</f>
        <v/>
      </c>
      <c r="S194" s="8"/>
      <c r="T194" s="8"/>
      <c r="U194" s="8"/>
      <c r="V194" s="8"/>
      <c r="AE194" s="477"/>
      <c r="AF194" s="38"/>
      <c r="AG194" s="38"/>
      <c r="AH194" s="69"/>
      <c r="AI194" s="69"/>
      <c r="AJ194" s="69"/>
      <c r="AK194" s="683"/>
      <c r="AL194" s="683"/>
      <c r="AM194" s="683"/>
      <c r="AN194" s="683"/>
      <c r="AO194" s="683"/>
      <c r="AP194" s="683"/>
      <c r="AQ194" s="683"/>
      <c r="AR194" s="683"/>
      <c r="AS194" s="6">
        <f>Q194</f>
        <v>8</v>
      </c>
      <c r="AT194" s="8"/>
      <c r="AU194" s="6">
        <f t="shared" si="66"/>
        <v>0</v>
      </c>
      <c r="AV194" s="6">
        <f t="shared" si="66"/>
        <v>2</v>
      </c>
      <c r="AW194" s="6">
        <f t="shared" si="66"/>
        <v>4</v>
      </c>
      <c r="AX194" s="6">
        <f t="shared" si="66"/>
        <v>8</v>
      </c>
      <c r="AY194" s="6">
        <f t="shared" si="66"/>
        <v>14</v>
      </c>
      <c r="AZ194" s="6">
        <f t="shared" si="66"/>
        <v>20</v>
      </c>
      <c r="BB194" s="7" t="s">
        <v>448</v>
      </c>
      <c r="BD194" s="6">
        <f>Q194</f>
        <v>8</v>
      </c>
      <c r="BE194" s="8"/>
      <c r="BF194" s="6">
        <f t="shared" ref="BF194:BK194" si="69">IF($Q194&gt;0,X$109*$D194,0)</f>
        <v>0</v>
      </c>
      <c r="BG194" s="6">
        <f t="shared" si="69"/>
        <v>2</v>
      </c>
      <c r="BH194" s="6">
        <f t="shared" si="69"/>
        <v>4</v>
      </c>
      <c r="BI194" s="6">
        <f t="shared" si="69"/>
        <v>8</v>
      </c>
      <c r="BJ194" s="6">
        <f t="shared" si="69"/>
        <v>14</v>
      </c>
      <c r="BK194" s="6">
        <f t="shared" si="69"/>
        <v>20</v>
      </c>
      <c r="BM194" s="525">
        <f>SUM(BD194:BD195)</f>
        <v>29</v>
      </c>
      <c r="BO194" s="525">
        <f t="shared" ref="BO194:BT194" si="70">SUM(BF194:BF195)</f>
        <v>0</v>
      </c>
      <c r="BP194" s="525">
        <f t="shared" si="70"/>
        <v>5</v>
      </c>
      <c r="BQ194" s="525">
        <f t="shared" si="70"/>
        <v>10</v>
      </c>
      <c r="BR194" s="525">
        <f t="shared" si="70"/>
        <v>20</v>
      </c>
      <c r="BS194" s="525">
        <f t="shared" si="70"/>
        <v>35</v>
      </c>
      <c r="BT194" s="525">
        <f t="shared" si="70"/>
        <v>50</v>
      </c>
    </row>
    <row r="195" spans="1:72" s="7" customFormat="1" ht="63" customHeight="1" x14ac:dyDescent="0.2">
      <c r="A195" s="1198" t="str">
        <f>BIBLE!E109</f>
        <v>PFA16b</v>
      </c>
      <c r="B195" s="134" t="str">
        <f>IF(P193&gt;=R193,BIBLE!F109,"")</f>
        <v>Arrive-t-il que l’autre parent organise et propose des activités à votre enfant sur votre temps de garde ?</v>
      </c>
      <c r="C195" s="463" t="str">
        <f>BIBLE!O109</f>
        <v xml:space="preserve">Jamais / Rarement / Occasionnellement / Régulièrement / Souvent / Toujours / S.O. </v>
      </c>
      <c r="D195" s="1290">
        <f>BIBLE!L109</f>
        <v>2</v>
      </c>
      <c r="E195" s="19"/>
      <c r="F195" s="19"/>
      <c r="G195" s="19"/>
      <c r="H195" s="19"/>
      <c r="I195" s="19"/>
      <c r="J195" s="19"/>
      <c r="K195" s="19">
        <v>1</v>
      </c>
      <c r="L195" s="19"/>
      <c r="M195" s="19"/>
      <c r="N195" s="19"/>
      <c r="O195" s="19"/>
      <c r="P195" s="1561">
        <f>'TEST_pour PROTOTYPE'!D176</f>
        <v>7</v>
      </c>
      <c r="Q195" s="24">
        <f t="shared" si="50"/>
        <v>14</v>
      </c>
      <c r="R195" s="8">
        <f>IF(BIBLE!K109=0,"",BIBLE!K109)</f>
        <v>4</v>
      </c>
      <c r="S195" s="8"/>
      <c r="T195" s="8"/>
      <c r="U195" s="8"/>
      <c r="V195" s="8"/>
      <c r="AE195" s="477"/>
      <c r="AF195" s="38"/>
      <c r="AG195" s="38"/>
      <c r="AH195" s="69"/>
      <c r="AI195" s="69"/>
      <c r="AJ195" s="69"/>
      <c r="AK195" s="683"/>
      <c r="AL195" s="683"/>
      <c r="AM195" s="683"/>
      <c r="AN195" s="683"/>
      <c r="AO195" s="683"/>
      <c r="AP195" s="683"/>
      <c r="AQ195" s="683"/>
      <c r="AR195" s="683"/>
      <c r="AS195" s="6">
        <f>Q195</f>
        <v>14</v>
      </c>
      <c r="AT195" s="8"/>
      <c r="AU195" s="6">
        <f t="shared" si="66"/>
        <v>0</v>
      </c>
      <c r="AV195" s="6">
        <f t="shared" si="66"/>
        <v>2</v>
      </c>
      <c r="AW195" s="6">
        <f t="shared" si="66"/>
        <v>4</v>
      </c>
      <c r="AX195" s="6">
        <f t="shared" si="66"/>
        <v>8</v>
      </c>
      <c r="AY195" s="6">
        <f t="shared" si="66"/>
        <v>14</v>
      </c>
      <c r="AZ195" s="6">
        <f t="shared" si="66"/>
        <v>20</v>
      </c>
      <c r="BB195" s="7" t="s">
        <v>448</v>
      </c>
      <c r="BD195" s="6">
        <f>MAX(AS195:AS196)</f>
        <v>21</v>
      </c>
      <c r="BE195" s="8"/>
      <c r="BF195" s="6">
        <f t="shared" ref="BF195:BK195" si="71">MAX(AU195:AU196)</f>
        <v>0</v>
      </c>
      <c r="BG195" s="6">
        <f t="shared" si="71"/>
        <v>3</v>
      </c>
      <c r="BH195" s="6">
        <f t="shared" si="71"/>
        <v>6</v>
      </c>
      <c r="BI195" s="6">
        <f t="shared" si="71"/>
        <v>12</v>
      </c>
      <c r="BJ195" s="6">
        <f t="shared" si="71"/>
        <v>21</v>
      </c>
      <c r="BK195" s="6">
        <f t="shared" si="71"/>
        <v>30</v>
      </c>
    </row>
    <row r="196" spans="1:72" s="7" customFormat="1" ht="63" customHeight="1" x14ac:dyDescent="0.2">
      <c r="A196" s="1198" t="str">
        <f>BIBLE!E110</f>
        <v>PFA16b1</v>
      </c>
      <c r="B196" s="134" t="str">
        <f>IF(P195&gt;=R195,BIBLE!F110,"")</f>
        <v>Arrive-t-il que l’autre parent organise et propose des activités amusantes, voire irrésistibles à votre enfant durant votre temps de garde ?</v>
      </c>
      <c r="C196" s="463" t="str">
        <f>BIBLE!O110</f>
        <v xml:space="preserve">Jamais / Rarement / Occasionnellement / Régulièrement / Souvent / Toujours / S.O. </v>
      </c>
      <c r="D196" s="1290">
        <f>BIBLE!L110</f>
        <v>3</v>
      </c>
      <c r="E196" s="19"/>
      <c r="F196" s="19"/>
      <c r="G196" s="19"/>
      <c r="H196" s="19"/>
      <c r="I196" s="19"/>
      <c r="J196" s="19">
        <v>1</v>
      </c>
      <c r="K196" s="19"/>
      <c r="L196" s="19"/>
      <c r="M196" s="19"/>
      <c r="N196" s="19"/>
      <c r="O196" s="19"/>
      <c r="P196" s="1561">
        <f>'TEST_pour PROTOTYPE'!D177</f>
        <v>7</v>
      </c>
      <c r="Q196" s="24">
        <f t="shared" si="50"/>
        <v>21</v>
      </c>
      <c r="R196" s="8" t="str">
        <f>IF(BIBLE!K110=0,"",BIBLE!K110)</f>
        <v/>
      </c>
      <c r="S196" s="273"/>
      <c r="T196" s="273"/>
      <c r="U196" s="273"/>
      <c r="V196" s="8"/>
      <c r="AE196" s="477"/>
      <c r="AF196" s="38"/>
      <c r="AG196" s="38"/>
      <c r="AH196" s="69"/>
      <c r="AI196" s="69"/>
      <c r="AJ196" s="69"/>
      <c r="AK196" s="683"/>
      <c r="AL196" s="683"/>
      <c r="AM196" s="683"/>
      <c r="AN196" s="683"/>
      <c r="AO196" s="683"/>
      <c r="AP196" s="683"/>
      <c r="AQ196" s="683"/>
      <c r="AR196" s="683"/>
      <c r="AS196" s="6">
        <f>Q196</f>
        <v>21</v>
      </c>
      <c r="AT196" s="8"/>
      <c r="AU196" s="6">
        <f t="shared" si="66"/>
        <v>0</v>
      </c>
      <c r="AV196" s="6">
        <f t="shared" si="66"/>
        <v>3</v>
      </c>
      <c r="AW196" s="6">
        <f t="shared" si="66"/>
        <v>6</v>
      </c>
      <c r="AX196" s="6">
        <f t="shared" si="66"/>
        <v>12</v>
      </c>
      <c r="AY196" s="6">
        <f t="shared" si="66"/>
        <v>21</v>
      </c>
      <c r="AZ196" s="6">
        <f t="shared" si="66"/>
        <v>30</v>
      </c>
      <c r="BD196" s="6"/>
      <c r="BE196" s="16"/>
      <c r="BF196" s="6"/>
      <c r="BG196" s="6"/>
      <c r="BH196" s="6"/>
      <c r="BI196" s="6"/>
      <c r="BJ196" s="6"/>
      <c r="BK196" s="6"/>
    </row>
    <row r="197" spans="1:72" s="7" customFormat="1" ht="63" customHeight="1" x14ac:dyDescent="0.2">
      <c r="A197" s="1198" t="str">
        <f>BIBLE!E111</f>
        <v>PFA17</v>
      </c>
      <c r="B197" s="133" t="str">
        <f>BIBLE!F111</f>
        <v>L’autre parent se présente à la sortie des classes, au service de garde ou à la garderie sur votre temps de garde.</v>
      </c>
      <c r="C197" s="463" t="str">
        <f>BIBLE!O111</f>
        <v xml:space="preserve">Jamais / Rarement / Occasionnellement / Régulièrement / Souvent / Toujours / S.O. </v>
      </c>
      <c r="D197" s="1290">
        <f>BIBLE!L111</f>
        <v>1</v>
      </c>
      <c r="E197" s="19"/>
      <c r="F197" s="19"/>
      <c r="G197" s="19">
        <v>1</v>
      </c>
      <c r="H197" s="19"/>
      <c r="I197" s="19"/>
      <c r="J197" s="19"/>
      <c r="K197" s="19"/>
      <c r="L197" s="19"/>
      <c r="M197" s="19"/>
      <c r="N197" s="19"/>
      <c r="O197" s="19"/>
      <c r="P197" s="1561">
        <f>'TEST_pour PROTOTYPE'!D178</f>
        <v>1</v>
      </c>
      <c r="Q197" s="24">
        <f t="shared" si="50"/>
        <v>1</v>
      </c>
      <c r="R197" s="8" t="str">
        <f>IF(BIBLE!K111=0,"",BIBLE!K111)</f>
        <v/>
      </c>
      <c r="S197" s="455"/>
      <c r="T197" s="455"/>
      <c r="U197" s="455"/>
      <c r="V197" s="6">
        <f>Q197</f>
        <v>1</v>
      </c>
      <c r="W197" s="455"/>
      <c r="X197" s="6">
        <f t="shared" ref="X197:AC198" si="72">IF($Q197&gt;0,X$109*$D197,0)</f>
        <v>0</v>
      </c>
      <c r="Y197" s="6">
        <f t="shared" si="72"/>
        <v>1</v>
      </c>
      <c r="Z197" s="6">
        <f t="shared" si="72"/>
        <v>2</v>
      </c>
      <c r="AA197" s="6">
        <f t="shared" si="72"/>
        <v>4</v>
      </c>
      <c r="AB197" s="6">
        <f t="shared" si="72"/>
        <v>7</v>
      </c>
      <c r="AC197" s="6">
        <f t="shared" si="72"/>
        <v>10</v>
      </c>
      <c r="AE197" s="477"/>
      <c r="AF197" s="38"/>
      <c r="AG197" s="38"/>
      <c r="AH197" s="22">
        <f>$V197*BIBLE!S111</f>
        <v>1</v>
      </c>
      <c r="AI197" s="22">
        <f>$V197*BIBLE!T111</f>
        <v>0</v>
      </c>
      <c r="AJ197" s="22">
        <f>$V197*BIBLE!U111</f>
        <v>0</v>
      </c>
      <c r="AK197" s="1236">
        <f>$V197*BIBLE!W111</f>
        <v>0</v>
      </c>
      <c r="AL197" s="1236">
        <f>$V197*BIBLE!X111</f>
        <v>0</v>
      </c>
      <c r="AM197" s="1236">
        <f>$V197*BIBLE!Y111</f>
        <v>0</v>
      </c>
      <c r="AN197" s="1236">
        <f>$V197*BIBLE!Z111</f>
        <v>0</v>
      </c>
      <c r="AO197" s="1236">
        <f>$V197*BIBLE!AA111</f>
        <v>1</v>
      </c>
      <c r="AP197" s="1236">
        <f>$V197*BIBLE!AB111</f>
        <v>0</v>
      </c>
      <c r="AQ197" s="1236">
        <f>$V197*BIBLE!AC111</f>
        <v>0</v>
      </c>
      <c r="AR197" s="1236">
        <f>$V197*BIBLE!AD111</f>
        <v>0</v>
      </c>
    </row>
    <row r="198" spans="1:72" s="7" customFormat="1" ht="63" customHeight="1" x14ac:dyDescent="0.2">
      <c r="A198" s="1198" t="str">
        <f>BIBLE!E112</f>
        <v>PFA18</v>
      </c>
      <c r="B198" s="133" t="str">
        <f>BIBLE!F112</f>
        <v>À quelle fréquence l’autre parent communique-t-il ou elle avec votre enfant durant votre temps de garde ? (tél., textos, réseaux sociaux, etc.)</v>
      </c>
      <c r="C198" s="463" t="str">
        <f>BIBLE!O112</f>
        <v xml:space="preserve">Jamais / Rarement, au besoin / 1 à 2 fois semaine / 3 à 5 fois semaine / Presque tous les jours / Plusieurs fois par jour / S.O. </v>
      </c>
      <c r="D198" s="1657">
        <f>IF(AND(P198&gt;=7,$P$27&gt;=3,$E$40&gt;8),BIBLE!M112,BIBLE!L112)</f>
        <v>1</v>
      </c>
      <c r="E198" s="19"/>
      <c r="F198" s="19"/>
      <c r="G198" s="19"/>
      <c r="H198" s="19"/>
      <c r="I198" s="19"/>
      <c r="J198" s="19">
        <v>1</v>
      </c>
      <c r="K198" s="19"/>
      <c r="L198" s="19"/>
      <c r="M198" s="19"/>
      <c r="N198" s="19"/>
      <c r="O198" s="19"/>
      <c r="P198" s="1561">
        <f>'TEST_pour PROTOTYPE'!D179</f>
        <v>7</v>
      </c>
      <c r="Q198" s="24">
        <f t="shared" si="50"/>
        <v>7</v>
      </c>
      <c r="R198" s="8">
        <f>IF(BIBLE!K112=0,"",BIBLE!K112)</f>
        <v>4</v>
      </c>
      <c r="S198" s="273"/>
      <c r="T198" s="273"/>
      <c r="U198" s="273"/>
      <c r="V198" s="6">
        <f>Q198</f>
        <v>7</v>
      </c>
      <c r="W198" s="273"/>
      <c r="X198" s="6">
        <f t="shared" si="72"/>
        <v>0</v>
      </c>
      <c r="Y198" s="6">
        <f t="shared" si="72"/>
        <v>1</v>
      </c>
      <c r="Z198" s="6">
        <f t="shared" si="72"/>
        <v>2</v>
      </c>
      <c r="AA198" s="6">
        <f t="shared" si="72"/>
        <v>4</v>
      </c>
      <c r="AB198" s="6">
        <f t="shared" si="72"/>
        <v>7</v>
      </c>
      <c r="AC198" s="6">
        <f t="shared" si="72"/>
        <v>10</v>
      </c>
      <c r="AE198" s="477"/>
      <c r="AF198" s="38"/>
      <c r="AG198" s="38"/>
      <c r="AH198" s="22">
        <f>$V198*BIBLE!S112</f>
        <v>7</v>
      </c>
      <c r="AI198" s="22">
        <f>$V198*BIBLE!T112</f>
        <v>0</v>
      </c>
      <c r="AJ198" s="22">
        <f>$V198*BIBLE!U112</f>
        <v>0</v>
      </c>
      <c r="AK198" s="1236">
        <f>$V198*BIBLE!W112</f>
        <v>0</v>
      </c>
      <c r="AL198" s="1236">
        <f>$V198*BIBLE!X112</f>
        <v>0</v>
      </c>
      <c r="AM198" s="1236">
        <f>$V198*BIBLE!Y112</f>
        <v>0</v>
      </c>
      <c r="AN198" s="1236">
        <f>$V198*BIBLE!Z112</f>
        <v>0</v>
      </c>
      <c r="AO198" s="1236">
        <f>$V198*BIBLE!AA112</f>
        <v>7</v>
      </c>
      <c r="AP198" s="1236">
        <f>$V198*BIBLE!AB112</f>
        <v>0</v>
      </c>
      <c r="AQ198" s="1236">
        <f>$V198*BIBLE!AC112</f>
        <v>0</v>
      </c>
      <c r="AR198" s="1236">
        <f>$V198*BIBLE!AD112</f>
        <v>0</v>
      </c>
    </row>
    <row r="199" spans="1:72" s="7" customFormat="1" ht="63" customHeight="1" x14ac:dyDescent="0.2">
      <c r="A199" s="1198" t="str">
        <f>BIBLE!E113</f>
        <v>PFA19</v>
      </c>
      <c r="B199" s="133" t="str">
        <f>BIBLE!F113</f>
        <v>L'autre parent vous communique les informations médicales, scolaires et liées aux activités sociales ou sportives de votre enfant.</v>
      </c>
      <c r="C199" s="463" t="str">
        <f>BIBLE!O113</f>
        <v>Toujours / Souvent / Régulièrement / Occasionnellement / Rarement / Jamais / S.O.</v>
      </c>
      <c r="D199" s="1290">
        <f>BIBLE!L113</f>
        <v>2</v>
      </c>
      <c r="E199" s="19"/>
      <c r="F199" s="19"/>
      <c r="G199" s="19"/>
      <c r="H199" s="19"/>
      <c r="I199" s="19"/>
      <c r="J199" s="19">
        <v>1</v>
      </c>
      <c r="K199" s="19"/>
      <c r="L199" s="19"/>
      <c r="M199" s="19"/>
      <c r="N199" s="19"/>
      <c r="O199" s="19"/>
      <c r="P199" s="1561">
        <f>'TEST_pour PROTOTYPE'!D180</f>
        <v>7</v>
      </c>
      <c r="Q199" s="24">
        <f t="shared" si="50"/>
        <v>14</v>
      </c>
      <c r="R199" s="8">
        <f>IF(BIBLE!K113=0,"",BIBLE!K113)</f>
        <v>7</v>
      </c>
      <c r="S199" s="273"/>
      <c r="T199" s="273"/>
      <c r="U199" s="273"/>
      <c r="V199" s="6">
        <f>IF(P199&gt;=R199,IF(Q199&gt;Q200,Q199,Q200),Q199)</f>
        <v>14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477"/>
      <c r="AF199" s="38"/>
      <c r="AG199" s="38"/>
      <c r="AH199" s="22">
        <f>IF($Q199=$V199,$Q199*BIBLE!S113,$Q200*BIBLE!S114)</f>
        <v>14</v>
      </c>
      <c r="AI199" s="22">
        <f>IF($Q199=$V199,$Q199*BIBLE!T113,$Q200*BIBLE!T114)</f>
        <v>0</v>
      </c>
      <c r="AJ199" s="22">
        <f>IF($Q199=$V199,$Q199*BIBLE!U113,$Q200*BIBLE!U114)</f>
        <v>0</v>
      </c>
      <c r="AK199" s="1236">
        <f>IF($Q199=$V199,$Q199*BIBLE!W113,$Q200*BIBLE!W114)</f>
        <v>0</v>
      </c>
      <c r="AL199" s="1236">
        <f>IF($Q199=$V199,$Q199*BIBLE!X113,$Q200*BIBLE!X114)</f>
        <v>0</v>
      </c>
      <c r="AM199" s="1236">
        <f>IF($Q199=$V199,$Q199*BIBLE!Y113,$Q200*BIBLE!Y114)</f>
        <v>0</v>
      </c>
      <c r="AN199" s="1236">
        <f>IF($Q199=$V199,$Q199*BIBLE!Z113,$Q200*BIBLE!Z114)</f>
        <v>0</v>
      </c>
      <c r="AO199" s="1236">
        <f>IF($Q199=$V199,$Q199*BIBLE!AA113,$Q200*BIBLE!AA114)</f>
        <v>14</v>
      </c>
      <c r="AP199" s="1236">
        <f>IF($Q199=$V199,$Q199*BIBLE!AB113,$Q200*BIBLE!AB114)</f>
        <v>0</v>
      </c>
      <c r="AQ199" s="1236">
        <f>IF($Q199=$V199,$Q199*BIBLE!AC113,$Q200*BIBLE!AC114)</f>
        <v>0</v>
      </c>
      <c r="AR199" s="1236">
        <f>IF($Q199=$V199,$Q199*BIBLE!AD113,$Q200*BIBLE!AD114)</f>
        <v>0</v>
      </c>
    </row>
    <row r="200" spans="1:72" s="7" customFormat="1" ht="63" customHeight="1" x14ac:dyDescent="0.2">
      <c r="A200" s="1198" t="str">
        <f>BIBLE!E114</f>
        <v>PFA19a</v>
      </c>
      <c r="B200" s="134" t="str">
        <f>IF(P199&gt;=R199,BIBLE!F114,"")</f>
        <v>L'autre parent demande aux personnes gravitant autour de votre enfant (profs, médecins, entraîneurs, etc.) de ne PAS vous communiquer de l'information à son sujet.</v>
      </c>
      <c r="C200" s="463" t="str">
        <f>BIBLE!O114</f>
        <v xml:space="preserve">Nulle / Très faible / Faible / Moyenne / Élevée / Très élevée / S.O.   </v>
      </c>
      <c r="D200" s="1290">
        <f>BIBLE!L114</f>
        <v>3</v>
      </c>
      <c r="E200" s="19"/>
      <c r="F200" s="19"/>
      <c r="G200" s="19"/>
      <c r="H200" s="19"/>
      <c r="I200" s="19">
        <v>1</v>
      </c>
      <c r="J200" s="19"/>
      <c r="K200" s="19"/>
      <c r="L200" s="19"/>
      <c r="M200" s="19"/>
      <c r="N200" s="19"/>
      <c r="O200" s="19"/>
      <c r="P200" s="1561">
        <f>'TEST_pour PROTOTYPE'!D181</f>
        <v>4</v>
      </c>
      <c r="Q200" s="24">
        <f t="shared" si="50"/>
        <v>12</v>
      </c>
      <c r="R200" s="8" t="str">
        <f>IF(BIBLE!K114=0,"",BIBLE!K114)</f>
        <v/>
      </c>
      <c r="S200" s="273"/>
      <c r="T200" s="273"/>
      <c r="U200" s="273"/>
      <c r="V200" s="6"/>
      <c r="W200" s="273"/>
      <c r="X200" s="6"/>
      <c r="Y200" s="6"/>
      <c r="Z200" s="6"/>
      <c r="AA200" s="6"/>
      <c r="AB200" s="6"/>
      <c r="AC200" s="6"/>
      <c r="AE200" s="477"/>
      <c r="AF200" s="38"/>
      <c r="AG200" s="38"/>
      <c r="AH200" s="69"/>
      <c r="AI200" s="69"/>
      <c r="AJ200" s="69"/>
      <c r="AK200" s="683"/>
      <c r="AL200" s="683"/>
      <c r="AM200" s="683"/>
      <c r="AN200" s="683"/>
      <c r="AO200" s="683"/>
      <c r="AP200" s="683"/>
      <c r="AQ200" s="683"/>
      <c r="AR200" s="683"/>
      <c r="BB200" s="17" t="s">
        <v>446</v>
      </c>
    </row>
    <row r="201" spans="1:72" s="7" customFormat="1" ht="63" customHeight="1" x14ac:dyDescent="0.2">
      <c r="A201" s="1198" t="str">
        <f>BIBLE!E115</f>
        <v>PFA20</v>
      </c>
      <c r="B201" s="133" t="str">
        <f>BIBLE!F115</f>
        <v>Il est facile de communiquer avec votre enfant lorsqu’il est chez l’autre parent.</v>
      </c>
      <c r="C201" s="463" t="str">
        <f>BIBLE!O115</f>
        <v>Toujours / Souvent / Régulièrement / Occasionnellement / Rarement / Jamais / S.O.</v>
      </c>
      <c r="D201" s="1290">
        <f>BIBLE!L115</f>
        <v>1</v>
      </c>
      <c r="E201" s="19"/>
      <c r="F201" s="19"/>
      <c r="G201" s="19"/>
      <c r="H201" s="19"/>
      <c r="I201" s="19"/>
      <c r="J201" s="19">
        <v>1</v>
      </c>
      <c r="K201" s="19"/>
      <c r="L201" s="19"/>
      <c r="M201" s="19"/>
      <c r="N201" s="19"/>
      <c r="O201" s="19"/>
      <c r="P201" s="1561">
        <f>'TEST_pour PROTOTYPE'!D182</f>
        <v>10</v>
      </c>
      <c r="Q201" s="24">
        <f t="shared" ref="Q201:Q211" si="74">P201*D201</f>
        <v>10</v>
      </c>
      <c r="R201" s="8">
        <f>IF(BIBLE!K115=0,"",BIBLE!K115)</f>
        <v>4</v>
      </c>
      <c r="S201" s="16"/>
      <c r="T201" s="16"/>
      <c r="U201" s="16"/>
      <c r="V201" s="6">
        <f>MAX(AS201:AS204)</f>
        <v>14</v>
      </c>
      <c r="W201" s="8"/>
      <c r="X201" s="6">
        <f>MAX(AU201:AU204)</f>
        <v>0</v>
      </c>
      <c r="Y201" s="6">
        <f t="shared" ref="Y201:AB201" si="75">MAX(AV201:AV204)</f>
        <v>3</v>
      </c>
      <c r="Z201" s="6">
        <f t="shared" si="75"/>
        <v>6</v>
      </c>
      <c r="AA201" s="6">
        <f t="shared" si="75"/>
        <v>12</v>
      </c>
      <c r="AB201" s="6">
        <f t="shared" si="75"/>
        <v>21</v>
      </c>
      <c r="AC201" s="6">
        <f>MAX(AZ201:AZ204)</f>
        <v>30</v>
      </c>
      <c r="AD201" s="8"/>
      <c r="AE201" s="476"/>
      <c r="AF201" s="1711"/>
      <c r="AG201" s="1711"/>
      <c r="AH201" s="22">
        <f>IF($Q201=$V201,$Q201*BIBLE!S115,(Test_Bible!$Q202*BIBLE!S116+Test_Bible!$Q204*BIBLE!S118+$Q203*BIBLE!S117))</f>
        <v>17</v>
      </c>
      <c r="AI201" s="22">
        <f>IF($Q201=$V201,$Q201*BIBLE!T115,(Test_Bible!$Q202*BIBLE!T116+Test_Bible!$Q204*BIBLE!T118+$Q203*BIBLE!T117))</f>
        <v>0</v>
      </c>
      <c r="AJ201" s="22">
        <f>IF($Q201=$V201,$Q201*BIBLE!U115,(Test_Bible!$Q202*BIBLE!U116+Test_Bible!$Q204*BIBLE!U118+$Q203*BIBLE!U117))</f>
        <v>3</v>
      </c>
      <c r="AK201" s="1236">
        <f>IF($Q201=$V201,$Q201*BIBLE!W115,(Test_Bible!$Q202*BIBLE!W116+Test_Bible!$Q204*BIBLE!W118+$Q203*BIBLE!W117))</f>
        <v>0</v>
      </c>
      <c r="AL201" s="1236">
        <f>IF($Q201=$V201,$Q201*BIBLE!X115,(Test_Bible!$Q202*BIBLE!X116+Test_Bible!$Q204*BIBLE!X118+$Q203*BIBLE!X117))</f>
        <v>0</v>
      </c>
      <c r="AM201" s="1236">
        <f>IF($Q201=$V201,$Q201*BIBLE!Y115,(Test_Bible!$Q202*BIBLE!Y116+Test_Bible!$Q204*BIBLE!Y118+$Q203*BIBLE!Y117))</f>
        <v>0</v>
      </c>
      <c r="AN201" s="1236">
        <f>IF($Q201=$V201,$Q201*BIBLE!Z115,(Test_Bible!$Q202*BIBLE!Z116+Test_Bible!$Q204*BIBLE!Z118+$Q203*BIBLE!Z117))</f>
        <v>6</v>
      </c>
      <c r="AO201" s="1236">
        <f>IF($Q201=$V201,$Q201*BIBLE!AA115,(Test_Bible!$Q202*BIBLE!AA116+Test_Bible!$Q204*BIBLE!AA118+$Q203*BIBLE!AA117))</f>
        <v>14</v>
      </c>
      <c r="AP201" s="1236">
        <f>IF($Q201=$V201,$Q201*BIBLE!AB115,(Test_Bible!$Q202*BIBLE!AB116+Test_Bible!$Q204*BIBLE!AB118+$Q203*BIBLE!AB117))</f>
        <v>0</v>
      </c>
      <c r="AQ201" s="1236">
        <f>IF($Q201=$V201,$Q201*BIBLE!AC115,(Test_Bible!$Q202*BIBLE!AC116+Test_Bible!$Q204*BIBLE!AC118+$Q203*BIBLE!AC117))</f>
        <v>0</v>
      </c>
      <c r="AR201" s="1236">
        <f>IF($Q201=$V201,$Q201*BIBLE!AD115,(Test_Bible!$Q202*BIBLE!AD116+Test_Bible!$Q204*BIBLE!AD118+$Q203*BIBLE!AD117))</f>
        <v>0</v>
      </c>
      <c r="AS201" s="6">
        <f>Q201</f>
        <v>10</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10</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x14ac:dyDescent="0.2">
      <c r="A202" s="1198" t="str">
        <f>BIBLE!E116</f>
        <v>PFA20a</v>
      </c>
      <c r="B202" s="134" t="str">
        <f>IF(P201&gt;=R201,BIBLE!F116,"")</f>
        <v>Arrive-t-il que l'autre parent contrôle, écoute ou écourte vos conversations téléphoniques avec votre enfant (lors de son tour de garde) ?</v>
      </c>
      <c r="C202" s="463" t="str">
        <f>BIBLE!O116</f>
        <v xml:space="preserve">Jamais / Rarement / Occasionnellement / Régulièrement / Souvent / Toujours / S.O. </v>
      </c>
      <c r="D202" s="1290">
        <f>BIBLE!L116</f>
        <v>2</v>
      </c>
      <c r="E202" s="19"/>
      <c r="F202" s="19"/>
      <c r="G202" s="19"/>
      <c r="H202" s="19"/>
      <c r="I202" s="19"/>
      <c r="J202" s="19">
        <v>1</v>
      </c>
      <c r="K202" s="19"/>
      <c r="L202" s="19"/>
      <c r="M202" s="19"/>
      <c r="N202" s="19"/>
      <c r="O202" s="19"/>
      <c r="P202" s="1561">
        <f>'TEST_pour PROTOTYPE'!D183</f>
        <v>7</v>
      </c>
      <c r="Q202" s="24">
        <f t="shared" si="74"/>
        <v>14</v>
      </c>
      <c r="R202" s="8">
        <f>IF(BIBLE!K116=0,"",BIBLE!K116)</f>
        <v>4</v>
      </c>
      <c r="S202" s="16"/>
      <c r="T202" s="16"/>
      <c r="U202" s="16"/>
      <c r="V202" s="8"/>
      <c r="W202" s="8"/>
      <c r="X202" s="8"/>
      <c r="Y202" s="8"/>
      <c r="Z202" s="8"/>
      <c r="AA202" s="8"/>
      <c r="AB202" s="8"/>
      <c r="AC202" s="8"/>
      <c r="AD202" s="8"/>
      <c r="AE202" s="476"/>
      <c r="AF202" s="1711"/>
      <c r="AG202" s="1711"/>
      <c r="AH202" s="22"/>
      <c r="AI202" s="22"/>
      <c r="AJ202" s="22"/>
      <c r="AK202" s="1236"/>
      <c r="AL202" s="1236"/>
      <c r="AM202" s="1236"/>
      <c r="AN202" s="1236"/>
      <c r="AO202" s="1236"/>
      <c r="AP202" s="1236"/>
      <c r="AQ202" s="1236"/>
      <c r="AR202" s="1236"/>
      <c r="AS202" s="6">
        <f>Q202</f>
        <v>14</v>
      </c>
      <c r="AT202" s="16"/>
      <c r="AU202" s="6">
        <f t="shared" si="76"/>
        <v>0</v>
      </c>
      <c r="AV202" s="6">
        <f t="shared" si="76"/>
        <v>2</v>
      </c>
      <c r="AW202" s="6">
        <f t="shared" si="76"/>
        <v>4</v>
      </c>
      <c r="AX202" s="6">
        <f t="shared" si="76"/>
        <v>8</v>
      </c>
      <c r="AY202" s="6">
        <f t="shared" si="76"/>
        <v>14</v>
      </c>
      <c r="AZ202" s="6">
        <f t="shared" si="76"/>
        <v>20</v>
      </c>
      <c r="BA202" s="8"/>
      <c r="BB202" s="6">
        <f>SUM(AS202:AS203)</f>
        <v>20</v>
      </c>
      <c r="BC202" s="8"/>
      <c r="BD202" s="6">
        <f t="shared" ref="BD202:BI202" si="78">SUM(AU202:AU203)</f>
        <v>0</v>
      </c>
      <c r="BE202" s="6">
        <f t="shared" si="78"/>
        <v>5</v>
      </c>
      <c r="BF202" s="6">
        <f t="shared" si="78"/>
        <v>10</v>
      </c>
      <c r="BG202" s="6">
        <f t="shared" si="78"/>
        <v>20</v>
      </c>
      <c r="BH202" s="6">
        <f t="shared" si="78"/>
        <v>35</v>
      </c>
      <c r="BI202" s="6">
        <f t="shared" si="78"/>
        <v>50</v>
      </c>
      <c r="BJ202" s="6"/>
      <c r="BK202" s="6"/>
    </row>
    <row r="203" spans="1:72" s="7" customFormat="1" ht="51" customHeight="1" x14ac:dyDescent="0.2">
      <c r="A203" s="1198" t="str">
        <f>BIBLE!E117</f>
        <v>PFA20a1</v>
      </c>
      <c r="B203" s="1213" t="str">
        <f>IF(P202&gt;=R202,BIBLE!F117,"")</f>
        <v>Arrive-t-il que l'autre parent vous accable de questions ou de reproches par téléphone ou par courriel?</v>
      </c>
      <c r="C203" s="463" t="str">
        <f>BIBLE!O117</f>
        <v xml:space="preserve">Jamais / Rarement / Occasionnellement / Régulièrement / Souvent / Toujours / S.O. </v>
      </c>
      <c r="D203" s="1290">
        <f>BIBLE!L117</f>
        <v>3</v>
      </c>
      <c r="E203" s="19"/>
      <c r="F203" s="19"/>
      <c r="G203" s="19"/>
      <c r="H203" s="19"/>
      <c r="I203" s="19"/>
      <c r="J203" s="19">
        <v>1</v>
      </c>
      <c r="K203" s="19"/>
      <c r="L203" s="19"/>
      <c r="M203" s="19"/>
      <c r="N203" s="19"/>
      <c r="O203" s="19"/>
      <c r="P203" s="1561">
        <f>'TEST_pour PROTOTYPE'!D184</f>
        <v>2</v>
      </c>
      <c r="Q203" s="24">
        <f t="shared" si="74"/>
        <v>6</v>
      </c>
      <c r="R203" s="8">
        <f>IF(BIBLE!K117=0,"",BIBLE!K117)</f>
        <v>4</v>
      </c>
      <c r="S203" s="8"/>
      <c r="T203" s="8"/>
      <c r="U203" s="8"/>
      <c r="V203" s="8"/>
      <c r="W203" s="8"/>
      <c r="X203" s="8"/>
      <c r="Y203" s="8"/>
      <c r="Z203" s="8"/>
      <c r="AA203" s="8"/>
      <c r="AB203" s="8"/>
      <c r="AC203" s="8"/>
      <c r="AD203" s="8"/>
      <c r="AE203" s="449">
        <f>Q203</f>
        <v>6</v>
      </c>
      <c r="AF203" s="1713"/>
      <c r="AG203" s="1713"/>
      <c r="AH203" s="24"/>
      <c r="AI203" s="24"/>
      <c r="AJ203" s="24"/>
      <c r="AK203" s="1238"/>
      <c r="AL203" s="1238"/>
      <c r="AM203" s="1238"/>
      <c r="AN203" s="1238"/>
      <c r="AO203" s="1238"/>
      <c r="AP203" s="1238"/>
      <c r="AQ203" s="1238"/>
      <c r="AR203" s="1238"/>
      <c r="AS203" s="6">
        <f>Q203</f>
        <v>6</v>
      </c>
      <c r="AT203" s="8"/>
      <c r="AU203" s="6">
        <f t="shared" si="76"/>
        <v>0</v>
      </c>
      <c r="AV203" s="6">
        <f t="shared" si="76"/>
        <v>3</v>
      </c>
      <c r="AW203" s="6">
        <f t="shared" si="76"/>
        <v>6</v>
      </c>
      <c r="AX203" s="6">
        <f t="shared" si="76"/>
        <v>12</v>
      </c>
      <c r="AY203" s="6">
        <f t="shared" si="76"/>
        <v>21</v>
      </c>
      <c r="AZ203" s="6">
        <f t="shared" si="76"/>
        <v>30</v>
      </c>
      <c r="BA203" s="8"/>
      <c r="BB203" s="8"/>
      <c r="BC203" s="8"/>
      <c r="BD203" s="8"/>
      <c r="BE203" s="8"/>
      <c r="BF203" s="8"/>
      <c r="BG203" s="8"/>
    </row>
    <row r="204" spans="1:72" s="7" customFormat="1" ht="51" customHeight="1" x14ac:dyDescent="0.2">
      <c r="A204" s="1198" t="str">
        <f>BIBLE!E118</f>
        <v>PFA20a1a</v>
      </c>
      <c r="B204" s="1213" t="str">
        <f>IF(P203&gt;=R203,BIBLE!F118,"")</f>
        <v/>
      </c>
      <c r="C204" s="463" t="str">
        <f>BIBLE!O118</f>
        <v xml:space="preserve">Jamais / Rarement / Occasionnellement / Régulièrement / Souvent / Toujours / S.O. </v>
      </c>
      <c r="D204" s="1290">
        <f>BIBLE!L118</f>
        <v>3</v>
      </c>
      <c r="E204" s="19"/>
      <c r="F204" s="19"/>
      <c r="G204" s="19"/>
      <c r="H204" s="19"/>
      <c r="I204" s="19"/>
      <c r="J204" s="19"/>
      <c r="K204" s="19"/>
      <c r="L204" s="19"/>
      <c r="M204" s="19"/>
      <c r="N204" s="19"/>
      <c r="O204" s="19"/>
      <c r="P204" s="1561">
        <f>'TEST_pour PROTOTYPE'!D185</f>
        <v>0</v>
      </c>
      <c r="Q204" s="24">
        <f>P204*D204</f>
        <v>0</v>
      </c>
      <c r="R204" s="8" t="str">
        <f>IF(BIBLE!K118=0,"",BIBLE!K118)</f>
        <v/>
      </c>
      <c r="S204" s="8"/>
      <c r="T204" s="8"/>
      <c r="U204" s="8"/>
      <c r="V204" s="8"/>
      <c r="W204" s="8"/>
      <c r="X204" s="8"/>
      <c r="Y204" s="8"/>
      <c r="Z204" s="8"/>
      <c r="AA204" s="8"/>
      <c r="AB204" s="8"/>
      <c r="AC204" s="8"/>
      <c r="AD204" s="8"/>
      <c r="AE204" s="449">
        <f>Q204</f>
        <v>0</v>
      </c>
      <c r="AF204" s="1713"/>
      <c r="AG204" s="1713"/>
      <c r="AH204" s="24"/>
      <c r="AI204" s="24"/>
      <c r="AJ204" s="24"/>
      <c r="AK204" s="1238"/>
      <c r="AL204" s="1238"/>
      <c r="AM204" s="1238"/>
      <c r="AN204" s="1238"/>
      <c r="AO204" s="1238"/>
      <c r="AP204" s="1238"/>
      <c r="AQ204" s="1238"/>
      <c r="AR204" s="1238"/>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x14ac:dyDescent="0.2">
      <c r="A205" s="1198" t="str">
        <f>BIBLE!E119</f>
        <v>PFA21</v>
      </c>
      <c r="B205" s="133" t="str">
        <f>BIBLE!F119</f>
        <v xml:space="preserve">Dans quelle mesure diriez-vous que l'autre parent vous considère comme étant son égal·e sur le plan parental ? </v>
      </c>
      <c r="C205" s="463" t="str">
        <f>BIBLE!O119</f>
        <v>Totalement / Grandement / Moyennement / Un peu / Très peu / Pas du tout / S.O.</v>
      </c>
      <c r="D205" s="1290">
        <f>BIBLE!L119</f>
        <v>1</v>
      </c>
      <c r="E205" s="19"/>
      <c r="F205" s="19"/>
      <c r="G205" s="19"/>
      <c r="H205" s="19"/>
      <c r="I205" s="19"/>
      <c r="J205" s="19"/>
      <c r="K205" s="19">
        <v>1</v>
      </c>
      <c r="L205" s="19"/>
      <c r="M205" s="19"/>
      <c r="N205" s="19"/>
      <c r="O205" s="19"/>
      <c r="P205" s="1561">
        <f>'TEST_pour PROTOTYPE'!D186</f>
        <v>10</v>
      </c>
      <c r="Q205" s="24">
        <f t="shared" si="74"/>
        <v>10</v>
      </c>
      <c r="R205" s="8" t="str">
        <f>IF(BIBLE!K119=0,"",BIBLE!K119)</f>
        <v/>
      </c>
      <c r="S205" s="273"/>
      <c r="T205" s="273"/>
      <c r="U205" s="273"/>
      <c r="V205" s="6">
        <f t="shared" ref="V205:V211" si="79">Q205</f>
        <v>10</v>
      </c>
      <c r="W205" s="273"/>
      <c r="X205" s="6">
        <f t="shared" ref="X205:AC211" si="80">IF($Q205&gt;0,X$109*$D205,0)</f>
        <v>0</v>
      </c>
      <c r="Y205" s="6">
        <f t="shared" si="80"/>
        <v>1</v>
      </c>
      <c r="Z205" s="6">
        <f t="shared" si="80"/>
        <v>2</v>
      </c>
      <c r="AA205" s="6">
        <f t="shared" si="80"/>
        <v>4</v>
      </c>
      <c r="AB205" s="6">
        <f t="shared" si="80"/>
        <v>7</v>
      </c>
      <c r="AC205" s="6">
        <f t="shared" si="80"/>
        <v>10</v>
      </c>
      <c r="AE205" s="477"/>
      <c r="AF205" s="38"/>
      <c r="AG205" s="38"/>
      <c r="AH205" s="22">
        <f>$V205*BIBLE!S119</f>
        <v>5</v>
      </c>
      <c r="AI205" s="22">
        <f>$V205*BIBLE!T119</f>
        <v>5</v>
      </c>
      <c r="AJ205" s="22">
        <f>$V205*BIBLE!U119</f>
        <v>0</v>
      </c>
      <c r="AK205" s="1236">
        <f>$V205*BIBLE!W119</f>
        <v>0</v>
      </c>
      <c r="AL205" s="1236">
        <f>$V205*BIBLE!X119</f>
        <v>0</v>
      </c>
      <c r="AM205" s="1236">
        <f>$V205*BIBLE!Y119</f>
        <v>0</v>
      </c>
      <c r="AN205" s="1236">
        <f>$V205*BIBLE!Z119</f>
        <v>0</v>
      </c>
      <c r="AO205" s="1236">
        <f>$V205*BIBLE!AA119</f>
        <v>0</v>
      </c>
      <c r="AP205" s="1236">
        <f>$V205*BIBLE!AB119</f>
        <v>10</v>
      </c>
      <c r="AQ205" s="1236">
        <f>$V205*BIBLE!AC119</f>
        <v>0</v>
      </c>
      <c r="AR205" s="1236">
        <f>$V205*BIBLE!AD119</f>
        <v>0</v>
      </c>
    </row>
    <row r="206" spans="1:72" s="7" customFormat="1" ht="90" customHeight="1" x14ac:dyDescent="0.2">
      <c r="A206" s="1198" t="str">
        <f>BIBLE!E120</f>
        <v>PFA40</v>
      </c>
      <c r="B206" s="133" t="str">
        <f>BIBLE!F120</f>
        <v>L'autre parent sent qu’il est en compétition avec vous pour l’amour de votre enfant.</v>
      </c>
      <c r="C206" s="463" t="str">
        <f>BIBLE!O120</f>
        <v>Nulle / Très faible / Faible / Moyenne / Élevée / Très élevée / S.O.</v>
      </c>
      <c r="D206" s="1290">
        <f>BIBLE!L120</f>
        <v>2</v>
      </c>
      <c r="E206" s="19"/>
      <c r="F206" s="19"/>
      <c r="G206" s="19"/>
      <c r="H206" s="19"/>
      <c r="I206" s="19"/>
      <c r="J206" s="19">
        <v>1</v>
      </c>
      <c r="K206" s="19"/>
      <c r="L206" s="19"/>
      <c r="M206" s="19"/>
      <c r="N206" s="19"/>
      <c r="O206" s="19"/>
      <c r="P206" s="1561">
        <f>'TEST_pour PROTOTYPE'!D187</f>
        <v>7</v>
      </c>
      <c r="Q206" s="24">
        <f t="shared" si="74"/>
        <v>14</v>
      </c>
      <c r="R206" s="8" t="str">
        <f>IF(BIBLE!K120=0,"",BIBLE!K120)</f>
        <v/>
      </c>
      <c r="S206" s="273"/>
      <c r="T206" s="273"/>
      <c r="U206" s="273"/>
      <c r="V206" s="6">
        <f t="shared" si="79"/>
        <v>14</v>
      </c>
      <c r="W206" s="273"/>
      <c r="X206" s="6">
        <f t="shared" si="80"/>
        <v>0</v>
      </c>
      <c r="Y206" s="6">
        <f t="shared" si="80"/>
        <v>2</v>
      </c>
      <c r="Z206" s="6">
        <f t="shared" si="80"/>
        <v>4</v>
      </c>
      <c r="AA206" s="6">
        <f t="shared" si="80"/>
        <v>8</v>
      </c>
      <c r="AB206" s="6">
        <f t="shared" si="80"/>
        <v>14</v>
      </c>
      <c r="AC206" s="6">
        <f t="shared" si="80"/>
        <v>20</v>
      </c>
      <c r="AE206" s="477"/>
      <c r="AF206" s="38"/>
      <c r="AG206" s="38"/>
      <c r="AH206" s="22">
        <f>$V206*BIBLE!S120</f>
        <v>0</v>
      </c>
      <c r="AI206" s="22">
        <f>$V206*BIBLE!T120</f>
        <v>14</v>
      </c>
      <c r="AJ206" s="22">
        <f>$V206*BIBLE!U120</f>
        <v>0</v>
      </c>
      <c r="AK206" s="1236">
        <f>$V206*BIBLE!W120</f>
        <v>0</v>
      </c>
      <c r="AL206" s="1236">
        <f>$V206*BIBLE!X120</f>
        <v>0</v>
      </c>
      <c r="AM206" s="1236">
        <f>$V206*BIBLE!Y120</f>
        <v>0</v>
      </c>
      <c r="AN206" s="1236">
        <f>$V206*BIBLE!Z120</f>
        <v>0</v>
      </c>
      <c r="AO206" s="1236">
        <f>$V206*BIBLE!AA120</f>
        <v>0</v>
      </c>
      <c r="AP206" s="1236">
        <f>$V206*BIBLE!AB120</f>
        <v>14</v>
      </c>
      <c r="AQ206" s="1236">
        <f>$V206*BIBLE!AC120</f>
        <v>0</v>
      </c>
      <c r="AR206" s="1236">
        <f>$V206*BIBLE!AD120</f>
        <v>0</v>
      </c>
    </row>
    <row r="207" spans="1:72" s="7" customFormat="1" ht="90" customHeight="1" x14ac:dyDescent="0.2">
      <c r="A207" s="1198" t="str">
        <f>BIBLE!E121</f>
        <v>PFA22</v>
      </c>
      <c r="B207" s="133" t="str">
        <f>BIBLE!F121</f>
        <v>Dans quelle mesure diriez-vous que l'autre parent accepte ou vit bien avec les exigences de la coparentalité (logistique horaire, transport, vacances, etc.) ?</v>
      </c>
      <c r="C207" s="463" t="str">
        <f>BIBLE!O121</f>
        <v>Totalement / Grandement / Moyennement / Un peu / Très peu / Pas du tout / S.O.</v>
      </c>
      <c r="D207" s="1290">
        <f>BIBLE!L121</f>
        <v>1</v>
      </c>
      <c r="E207" s="19"/>
      <c r="F207" s="19"/>
      <c r="G207" s="19"/>
      <c r="H207" s="19"/>
      <c r="I207" s="19"/>
      <c r="J207" s="19"/>
      <c r="K207" s="19">
        <v>1</v>
      </c>
      <c r="L207" s="19"/>
      <c r="M207" s="19"/>
      <c r="N207" s="19"/>
      <c r="O207" s="19"/>
      <c r="P207" s="1561">
        <f>'TEST_pour PROTOTYPE'!D188</f>
        <v>10</v>
      </c>
      <c r="Q207" s="24">
        <f t="shared" si="74"/>
        <v>10</v>
      </c>
      <c r="R207" s="8" t="str">
        <f>IF(BIBLE!K121=0,"",BIBLE!K121)</f>
        <v/>
      </c>
      <c r="S207" s="273"/>
      <c r="T207" s="273"/>
      <c r="U207" s="273"/>
      <c r="V207" s="6">
        <f t="shared" si="79"/>
        <v>10</v>
      </c>
      <c r="W207" s="273"/>
      <c r="X207" s="6">
        <f t="shared" si="80"/>
        <v>0</v>
      </c>
      <c r="Y207" s="6">
        <f t="shared" si="80"/>
        <v>1</v>
      </c>
      <c r="Z207" s="6">
        <f t="shared" si="80"/>
        <v>2</v>
      </c>
      <c r="AA207" s="6">
        <f t="shared" si="80"/>
        <v>4</v>
      </c>
      <c r="AB207" s="6">
        <f t="shared" si="80"/>
        <v>7</v>
      </c>
      <c r="AC207" s="6">
        <f t="shared" si="80"/>
        <v>10</v>
      </c>
      <c r="AE207" s="477"/>
      <c r="AF207" s="38"/>
      <c r="AG207" s="38"/>
      <c r="AH207" s="22">
        <f>$V207*BIBLE!S121</f>
        <v>5</v>
      </c>
      <c r="AI207" s="22">
        <f>$V207*BIBLE!T121</f>
        <v>5</v>
      </c>
      <c r="AJ207" s="22">
        <f>$V207*BIBLE!U121</f>
        <v>0</v>
      </c>
      <c r="AK207" s="1236">
        <f>$V207*BIBLE!W121</f>
        <v>0</v>
      </c>
      <c r="AL207" s="1236">
        <f>$V207*BIBLE!X121</f>
        <v>0</v>
      </c>
      <c r="AM207" s="1236">
        <f>$V207*BIBLE!Y121</f>
        <v>0</v>
      </c>
      <c r="AN207" s="1236">
        <f>$V207*BIBLE!Z121</f>
        <v>0</v>
      </c>
      <c r="AO207" s="1236">
        <f>$V207*BIBLE!AA121</f>
        <v>0</v>
      </c>
      <c r="AP207" s="1236">
        <f>$V207*BIBLE!AB121</f>
        <v>10</v>
      </c>
      <c r="AQ207" s="1236">
        <f>$V207*BIBLE!AC121</f>
        <v>0</v>
      </c>
      <c r="AR207" s="1236">
        <f>$V207*BIBLE!AD121</f>
        <v>0</v>
      </c>
    </row>
    <row r="208" spans="1:72" s="7" customFormat="1" ht="90" customHeight="1" x14ac:dyDescent="0.2">
      <c r="A208" s="1198" t="str">
        <f>BIBLE!E122</f>
        <v>PFA23</v>
      </c>
      <c r="B208" s="133" t="str">
        <f>BIBLE!F122</f>
        <v>L'identité et la valeur sociale de l'autre parent passe par sa paternité ou sa maternité.</v>
      </c>
      <c r="C208" s="463" t="str">
        <f>BIBLE!O122</f>
        <v>Nulle / Très faible / Faible / Moyenne / Élevée / Très élevée / S.O.</v>
      </c>
      <c r="D208" s="1290">
        <f>BIBLE!L122</f>
        <v>1</v>
      </c>
      <c r="E208" s="19"/>
      <c r="F208" s="19"/>
      <c r="G208" s="19"/>
      <c r="H208" s="19"/>
      <c r="I208" s="19">
        <v>1</v>
      </c>
      <c r="J208" s="19"/>
      <c r="K208" s="19"/>
      <c r="L208" s="19"/>
      <c r="M208" s="19"/>
      <c r="N208" s="19"/>
      <c r="O208" s="19"/>
      <c r="P208" s="1561">
        <f>'TEST_pour PROTOTYPE'!D189</f>
        <v>4</v>
      </c>
      <c r="Q208" s="24">
        <f t="shared" si="74"/>
        <v>4</v>
      </c>
      <c r="R208" s="8">
        <f>BIBLE!K122</f>
        <v>4</v>
      </c>
      <c r="S208" s="273"/>
      <c r="T208" s="273"/>
      <c r="U208" s="273"/>
      <c r="V208" s="6">
        <f>IF(P208&gt;=R208,IF(Q208&gt;Q209,Q208,Q209),Q208)</f>
        <v>4</v>
      </c>
      <c r="W208" s="8"/>
      <c r="X208" s="6">
        <f t="shared" ref="X208:AC208" si="81">IF(($P208&gt;=$R208),IF($Q208&gt;$Q209,X$109*$D208,X$109*$D209),X$109*$D208)</f>
        <v>0</v>
      </c>
      <c r="Y208" s="6">
        <f t="shared" si="81"/>
        <v>2</v>
      </c>
      <c r="Z208" s="6">
        <f t="shared" si="81"/>
        <v>4</v>
      </c>
      <c r="AA208" s="6">
        <f t="shared" si="81"/>
        <v>8</v>
      </c>
      <c r="AB208" s="6">
        <f t="shared" si="81"/>
        <v>14</v>
      </c>
      <c r="AC208" s="6">
        <f t="shared" si="81"/>
        <v>20</v>
      </c>
      <c r="AE208" s="477"/>
      <c r="AF208" s="38"/>
      <c r="AG208" s="38"/>
      <c r="AH208" s="22">
        <f>IF($Q208=$V208,$Q208*BIBLE!S122,$Q209*BIBLE!S123)</f>
        <v>0</v>
      </c>
      <c r="AI208" s="22">
        <f>IF($Q208=$V208,$Q208*BIBLE!T122,$Q209*BIBLE!T123)</f>
        <v>4</v>
      </c>
      <c r="AJ208" s="22">
        <f>IF($Q208=$V208,$Q208*BIBLE!U122,$Q209*BIBLE!U123)</f>
        <v>0</v>
      </c>
      <c r="AK208" s="1236">
        <f>IF($Q208=$V208,$Q208*BIBLE!W122,$Q209*BIBLE!W123)</f>
        <v>0</v>
      </c>
      <c r="AL208" s="1236">
        <f>IF($Q208=$V208,$Q208*BIBLE!X122,$Q209*BIBLE!X123)</f>
        <v>0</v>
      </c>
      <c r="AM208" s="1236">
        <f>IF($Q208=$V208,$Q208*BIBLE!Y122,$Q209*BIBLE!Y123)</f>
        <v>0</v>
      </c>
      <c r="AN208" s="1236">
        <f>IF($Q208=$V208,$Q208*BIBLE!Z122,$Q209*BIBLE!Z123)</f>
        <v>0</v>
      </c>
      <c r="AO208" s="1236">
        <f>IF($Q208=$V208,$Q208*BIBLE!AA122,$Q209*BIBLE!AA123)</f>
        <v>0</v>
      </c>
      <c r="AP208" s="1236">
        <f>IF($Q208=$V208,$Q208*BIBLE!AB122,$Q209*BIBLE!AB123)</f>
        <v>4</v>
      </c>
      <c r="AQ208" s="1236">
        <f>IF($Q208=$V208,$Q208*BIBLE!AC122,$Q209*BIBLE!AC123)</f>
        <v>0</v>
      </c>
      <c r="AR208" s="1236">
        <f>IF($Q208=$V208,$Q208*BIBLE!AD122,$Q209*BIBLE!AD123)</f>
        <v>0</v>
      </c>
    </row>
    <row r="209" spans="1:44" s="7" customFormat="1" ht="66" customHeight="1" x14ac:dyDescent="0.2">
      <c r="A209" s="1198" t="str">
        <f>BIBLE!E123</f>
        <v>PFA23a</v>
      </c>
      <c r="B209" s="134" t="str">
        <f>IF(P208&gt;=R208,BIBLE!F123,"")</f>
        <v xml:space="preserve">Arrive-t-il que l'autre parent s'impose sa présence lors de fêtes ou d'activités destinés aux enfants ? </v>
      </c>
      <c r="C209" s="463" t="str">
        <f>BIBLE!O123</f>
        <v xml:space="preserve">Jamais / Rarement / Occasionnellement / Régulièrement / Souvent / Toujours / S.O. </v>
      </c>
      <c r="D209" s="1290">
        <f>BIBLE!L123</f>
        <v>2</v>
      </c>
      <c r="E209" s="19"/>
      <c r="F209" s="19"/>
      <c r="G209" s="19"/>
      <c r="H209" s="19">
        <v>1</v>
      </c>
      <c r="I209" s="19"/>
      <c r="J209" s="19"/>
      <c r="K209" s="19"/>
      <c r="L209" s="19"/>
      <c r="M209" s="19"/>
      <c r="N209" s="19"/>
      <c r="O209" s="19"/>
      <c r="P209" s="1561">
        <f>'TEST_pour PROTOTYPE'!D190</f>
        <v>2</v>
      </c>
      <c r="Q209" s="24">
        <f t="shared" si="74"/>
        <v>4</v>
      </c>
      <c r="R209" s="8" t="str">
        <f>IF(BIBLE!K123=0,"",BIBLE!K123)</f>
        <v/>
      </c>
      <c r="S209" s="273"/>
      <c r="T209" s="273"/>
      <c r="U209" s="273"/>
      <c r="V209" s="6"/>
      <c r="W209" s="273"/>
      <c r="X209" s="6"/>
      <c r="Y209" s="6"/>
      <c r="Z209" s="6"/>
      <c r="AA209" s="6"/>
      <c r="AB209" s="6"/>
      <c r="AC209" s="6"/>
      <c r="AE209" s="477"/>
      <c r="AF209" s="38"/>
      <c r="AG209" s="38"/>
      <c r="AH209" s="69"/>
      <c r="AI209" s="69"/>
      <c r="AJ209" s="69"/>
      <c r="AK209" s="683"/>
      <c r="AL209" s="683"/>
      <c r="AM209" s="683"/>
      <c r="AN209" s="683"/>
      <c r="AO209" s="683"/>
      <c r="AP209" s="683"/>
      <c r="AQ209" s="683"/>
      <c r="AR209" s="683"/>
    </row>
    <row r="210" spans="1:44" s="7" customFormat="1" ht="76" customHeight="1" x14ac:dyDescent="0.2">
      <c r="A210" s="1198" t="str">
        <f>BIBLE!E124</f>
        <v>PFA24</v>
      </c>
      <c r="B210" s="133" t="str">
        <f>BIBLE!F124</f>
        <v>Depuis la séparation, l’autre parent cherche à vous blesser parce qu'il considère que vous avez brisé ou abandonné la famille.</v>
      </c>
      <c r="C210" s="463" t="str">
        <f>BIBLE!O124</f>
        <v>Nulle / Très faible / Faible / Moyenne / Élevée / Très élevée / S.O.</v>
      </c>
      <c r="D210" s="1657">
        <f>IF(AND(P210&gt;=4,P27&gt;=3),BIBLE!M124,BIBLE!L124)</f>
        <v>2</v>
      </c>
      <c r="E210" s="19"/>
      <c r="F210" s="19"/>
      <c r="G210" s="19"/>
      <c r="H210" s="19"/>
      <c r="I210" s="19"/>
      <c r="J210" s="19">
        <v>1</v>
      </c>
      <c r="K210" s="19"/>
      <c r="L210" s="19"/>
      <c r="M210" s="19"/>
      <c r="N210" s="19"/>
      <c r="O210" s="19"/>
      <c r="P210" s="1561">
        <f>'TEST_pour PROTOTYPE'!D191</f>
        <v>7</v>
      </c>
      <c r="Q210" s="24">
        <f t="shared" si="74"/>
        <v>14</v>
      </c>
      <c r="R210" s="8">
        <f>IF(BIBLE!K124=0,"",BIBLE!K124)</f>
        <v>4</v>
      </c>
      <c r="S210" s="273"/>
      <c r="T210" s="273"/>
      <c r="U210" s="273"/>
      <c r="V210" s="6">
        <f t="shared" si="79"/>
        <v>14</v>
      </c>
      <c r="W210" s="273"/>
      <c r="X210" s="6">
        <f t="shared" si="80"/>
        <v>0</v>
      </c>
      <c r="Y210" s="6">
        <f t="shared" si="80"/>
        <v>2</v>
      </c>
      <c r="Z210" s="6">
        <f t="shared" si="80"/>
        <v>4</v>
      </c>
      <c r="AA210" s="6">
        <f t="shared" si="80"/>
        <v>8</v>
      </c>
      <c r="AB210" s="6">
        <f t="shared" si="80"/>
        <v>14</v>
      </c>
      <c r="AC210" s="6">
        <f t="shared" si="80"/>
        <v>20</v>
      </c>
      <c r="AE210" s="477"/>
      <c r="AF210" s="38"/>
      <c r="AG210" s="38"/>
      <c r="AH210" s="22">
        <f>$V210*BIBLE!S124</f>
        <v>14</v>
      </c>
      <c r="AI210" s="22">
        <f>$V210*BIBLE!T124</f>
        <v>0</v>
      </c>
      <c r="AJ210" s="22">
        <f>$V210*BIBLE!U124</f>
        <v>0</v>
      </c>
      <c r="AK210" s="1236">
        <f>$V210*BIBLE!W124</f>
        <v>0</v>
      </c>
      <c r="AL210" s="1236">
        <f>$V210*BIBLE!X124</f>
        <v>0</v>
      </c>
      <c r="AM210" s="1236">
        <f>$V210*BIBLE!Y124</f>
        <v>0</v>
      </c>
      <c r="AN210" s="1236">
        <f>$V210*BIBLE!Z124</f>
        <v>0</v>
      </c>
      <c r="AO210" s="1236">
        <f>$V210*BIBLE!AA124</f>
        <v>0</v>
      </c>
      <c r="AP210" s="1236">
        <f>$V210*BIBLE!AB124</f>
        <v>14</v>
      </c>
      <c r="AQ210" s="1236">
        <f>$V210*BIBLE!AC124</f>
        <v>0</v>
      </c>
      <c r="AR210" s="1236">
        <f>$V210*BIBLE!AD124</f>
        <v>0</v>
      </c>
    </row>
    <row r="211" spans="1:44" s="7" customFormat="1" ht="70" customHeight="1" x14ac:dyDescent="0.2">
      <c r="A211" s="1198" t="str">
        <f>BIBLE!E125</f>
        <v>PFA25</v>
      </c>
      <c r="B211" s="133" t="str">
        <f>BIBLE!F125</f>
        <v>L'autre parent vous appelle par votre prénom devant votre enfant (versus maman ou papa).</v>
      </c>
      <c r="C211" s="463" t="str">
        <f>BIBLE!O125</f>
        <v xml:space="preserve">Jamais / Rarement / Occasionnellement / Régulièrement / Souvent / Toujours / S.O. </v>
      </c>
      <c r="D211" s="1657">
        <f>IF(P212=2,BIBLE!M125,BIBLE!L125)</f>
        <v>2</v>
      </c>
      <c r="E211" s="19"/>
      <c r="F211" s="19"/>
      <c r="G211" s="19"/>
      <c r="H211" s="19"/>
      <c r="I211" s="19">
        <v>1</v>
      </c>
      <c r="J211" s="19"/>
      <c r="K211" s="19"/>
      <c r="L211" s="19"/>
      <c r="M211" s="19"/>
      <c r="N211" s="19"/>
      <c r="O211" s="19"/>
      <c r="P211" s="1561">
        <f>'TEST_pour PROTOTYPE'!D192</f>
        <v>4</v>
      </c>
      <c r="Q211" s="24">
        <f t="shared" si="74"/>
        <v>8</v>
      </c>
      <c r="R211" s="8">
        <f>IF(BIBLE!K125=0,"",BIBLE!K125)</f>
        <v>2</v>
      </c>
      <c r="S211" s="273"/>
      <c r="T211" s="273"/>
      <c r="U211" s="273"/>
      <c r="V211" s="6">
        <f t="shared" si="79"/>
        <v>8</v>
      </c>
      <c r="W211" s="273"/>
      <c r="X211" s="6">
        <f t="shared" si="80"/>
        <v>0</v>
      </c>
      <c r="Y211" s="6">
        <f t="shared" si="80"/>
        <v>2</v>
      </c>
      <c r="Z211" s="6">
        <f t="shared" si="80"/>
        <v>4</v>
      </c>
      <c r="AA211" s="6">
        <f t="shared" si="80"/>
        <v>8</v>
      </c>
      <c r="AB211" s="6">
        <f t="shared" si="80"/>
        <v>14</v>
      </c>
      <c r="AC211" s="6">
        <f t="shared" si="80"/>
        <v>20</v>
      </c>
      <c r="AE211" s="477"/>
      <c r="AF211" s="38"/>
      <c r="AG211" s="38"/>
      <c r="AH211" s="22">
        <f>$V211*BIBLE!S125</f>
        <v>4</v>
      </c>
      <c r="AI211" s="22">
        <f>$V211*BIBLE!T125</f>
        <v>4</v>
      </c>
      <c r="AJ211" s="22">
        <f>$V211*BIBLE!U125</f>
        <v>0</v>
      </c>
      <c r="AK211" s="1236">
        <f>$V211*BIBLE!W125</f>
        <v>0</v>
      </c>
      <c r="AL211" s="1236">
        <f>$V211*BIBLE!X125</f>
        <v>0</v>
      </c>
      <c r="AM211" s="1236">
        <f>$V211*BIBLE!Y125</f>
        <v>0</v>
      </c>
      <c r="AN211" s="1236">
        <f>$V211*BIBLE!Z125</f>
        <v>0</v>
      </c>
      <c r="AO211" s="1236">
        <f>$V211*BIBLE!AA125</f>
        <v>0</v>
      </c>
      <c r="AP211" s="1236">
        <f>$V211*BIBLE!AB125</f>
        <v>8</v>
      </c>
      <c r="AQ211" s="1236">
        <f>$V211*BIBLE!AC125</f>
        <v>0</v>
      </c>
      <c r="AR211" s="1236">
        <f>$V211*BIBLE!AD125</f>
        <v>0</v>
      </c>
    </row>
    <row r="212" spans="1:44" s="7" customFormat="1" ht="60" customHeight="1" x14ac:dyDescent="0.2">
      <c r="A212" s="1198" t="str">
        <f>BIBLE!E126</f>
        <v>PFA25a</v>
      </c>
      <c r="B212" s="468" t="str">
        <f>IF(P211&gt;=R211,BIBLE!F126,"")</f>
        <v>Cette façon de s'adresser à vous devant votre enfant (prénom versus maman ou papa) est-elle habituelle ou est-ce nouveau depuis la séparation ?</v>
      </c>
      <c r="C212" s="69"/>
      <c r="D212" s="1657"/>
      <c r="E212" s="8"/>
      <c r="F212" s="19"/>
      <c r="G212" s="19"/>
      <c r="H212" s="19"/>
      <c r="I212" s="19"/>
      <c r="J212" s="19"/>
      <c r="K212" s="19"/>
      <c r="L212" s="19"/>
      <c r="M212" s="19"/>
      <c r="N212" s="19"/>
      <c r="O212" s="19"/>
      <c r="P212" s="1564">
        <f>'TEST_pour PROTOTYPE'!D193</f>
        <v>2</v>
      </c>
      <c r="Q212" s="24"/>
      <c r="R212" s="8" t="str">
        <f>IF(BIBLE!K126=0,"",BIBLE!K126)</f>
        <v/>
      </c>
      <c r="S212" s="273"/>
      <c r="T212" s="273"/>
      <c r="U212" s="273"/>
      <c r="V212" s="6"/>
      <c r="W212" s="273"/>
      <c r="X212" s="8"/>
      <c r="Y212" s="8"/>
      <c r="Z212" s="8"/>
      <c r="AA212" s="8"/>
      <c r="AB212" s="8"/>
      <c r="AC212" s="8"/>
      <c r="AE212" s="477"/>
      <c r="AF212" s="38"/>
      <c r="AG212" s="38"/>
      <c r="AH212" s="69"/>
      <c r="AI212" s="69"/>
      <c r="AJ212" s="69"/>
      <c r="AK212" s="683"/>
      <c r="AL212" s="683"/>
      <c r="AM212" s="683"/>
      <c r="AN212" s="683"/>
      <c r="AO212" s="683"/>
      <c r="AP212" s="683"/>
      <c r="AQ212" s="683"/>
      <c r="AR212" s="683"/>
    </row>
    <row r="213" spans="1:44" s="7" customFormat="1" ht="16" customHeight="1" x14ac:dyDescent="0.2">
      <c r="A213" s="1198"/>
      <c r="B213" s="468" t="str">
        <f>IF(P211&gt;=R211,"Normal / Usuel","")</f>
        <v>Normal / Usuel</v>
      </c>
      <c r="C213" s="69"/>
      <c r="D213" s="1655">
        <v>1</v>
      </c>
      <c r="E213" s="1466" t="str">
        <f>IF(P$212=D213,1,"x")</f>
        <v>x</v>
      </c>
      <c r="F213" s="19"/>
      <c r="G213" s="19"/>
      <c r="H213" s="19"/>
      <c r="I213" s="19"/>
      <c r="J213" s="19"/>
      <c r="K213" s="19"/>
      <c r="L213" s="19"/>
      <c r="M213" s="19"/>
      <c r="N213" s="19"/>
      <c r="O213" s="19"/>
      <c r="P213" s="23"/>
      <c r="Q213" s="24"/>
      <c r="R213" s="8"/>
      <c r="S213" s="273"/>
      <c r="T213" s="273"/>
      <c r="U213" s="273"/>
      <c r="V213" s="6"/>
      <c r="W213" s="273"/>
      <c r="X213" s="8"/>
      <c r="Y213" s="8"/>
      <c r="Z213" s="8"/>
      <c r="AA213" s="8"/>
      <c r="AB213" s="8"/>
      <c r="AC213" s="8"/>
      <c r="AE213" s="477"/>
      <c r="AF213" s="38"/>
      <c r="AG213" s="38"/>
      <c r="AH213" s="69"/>
      <c r="AI213" s="69"/>
      <c r="AJ213" s="69"/>
      <c r="AK213" s="683"/>
      <c r="AL213" s="683"/>
      <c r="AM213" s="683"/>
      <c r="AN213" s="683"/>
      <c r="AO213" s="683"/>
      <c r="AP213" s="683"/>
      <c r="AQ213" s="683"/>
      <c r="AR213" s="683"/>
    </row>
    <row r="214" spans="1:44" s="7" customFormat="1" ht="16" customHeight="1" x14ac:dyDescent="0.2">
      <c r="A214" s="1198"/>
      <c r="B214" s="468" t="str">
        <f>IF(P211&gt;=R211,"Nouveau","")</f>
        <v>Nouveau</v>
      </c>
      <c r="C214" s="69"/>
      <c r="D214" s="1655">
        <v>2</v>
      </c>
      <c r="E214" s="1466">
        <f>IF(P$212=D214,1,"x")</f>
        <v>1</v>
      </c>
      <c r="F214" s="19"/>
      <c r="G214" s="19"/>
      <c r="H214" s="19"/>
      <c r="I214" s="19"/>
      <c r="J214" s="19"/>
      <c r="K214" s="19"/>
      <c r="L214" s="19"/>
      <c r="M214" s="19"/>
      <c r="N214" s="19"/>
      <c r="O214" s="19"/>
      <c r="P214" s="23"/>
      <c r="Q214" s="24"/>
      <c r="R214" s="8"/>
      <c r="S214" s="273"/>
      <c r="T214" s="273"/>
      <c r="U214" s="273"/>
      <c r="V214" s="6"/>
      <c r="W214" s="273"/>
      <c r="X214" s="8"/>
      <c r="Y214" s="8"/>
      <c r="Z214" s="8"/>
      <c r="AA214" s="8"/>
      <c r="AB214" s="8"/>
      <c r="AC214" s="8"/>
      <c r="AE214" s="477"/>
      <c r="AF214" s="38"/>
      <c r="AG214" s="38"/>
      <c r="AH214" s="69"/>
      <c r="AI214" s="69"/>
      <c r="AJ214" s="69"/>
      <c r="AK214" s="683"/>
      <c r="AL214" s="683"/>
      <c r="AM214" s="683"/>
      <c r="AN214" s="683"/>
      <c r="AO214" s="683"/>
      <c r="AP214" s="683"/>
      <c r="AQ214" s="683"/>
      <c r="AR214" s="683"/>
    </row>
    <row r="215" spans="1:44" s="7" customFormat="1" ht="16" customHeight="1" x14ac:dyDescent="0.2">
      <c r="A215" s="1198"/>
      <c r="B215" s="468"/>
      <c r="C215" s="69"/>
      <c r="D215" s="1290"/>
      <c r="E215" s="19"/>
      <c r="F215" s="19"/>
      <c r="G215" s="19"/>
      <c r="H215" s="19"/>
      <c r="I215" s="19"/>
      <c r="J215" s="19"/>
      <c r="K215" s="19"/>
      <c r="L215" s="19"/>
      <c r="M215" s="19"/>
      <c r="N215" s="19"/>
      <c r="O215" s="19"/>
      <c r="P215" s="23"/>
      <c r="Q215" s="24"/>
      <c r="R215" s="8"/>
      <c r="S215" s="273"/>
      <c r="T215" s="273"/>
      <c r="U215" s="273"/>
      <c r="V215" s="6"/>
      <c r="W215" s="273"/>
      <c r="X215" s="8"/>
      <c r="Y215" s="8"/>
      <c r="Z215" s="8"/>
      <c r="AA215" s="8"/>
      <c r="AB215" s="8"/>
      <c r="AC215" s="8"/>
      <c r="AE215" s="477"/>
      <c r="AF215" s="38"/>
      <c r="AG215" s="38"/>
      <c r="AH215" s="69"/>
      <c r="AI215" s="69"/>
      <c r="AJ215" s="69"/>
      <c r="AK215" s="683"/>
      <c r="AL215" s="683"/>
      <c r="AM215" s="683"/>
      <c r="AN215" s="683"/>
      <c r="AO215" s="683"/>
      <c r="AP215" s="683"/>
      <c r="AQ215" s="683"/>
      <c r="AR215" s="683"/>
    </row>
    <row r="216" spans="1:44" s="7" customFormat="1" ht="65" customHeight="1" x14ac:dyDescent="0.2">
      <c r="A216" s="1198" t="str">
        <f>BIBLE!E127</f>
        <v>PFA26</v>
      </c>
      <c r="B216" s="133" t="str">
        <f>IF(P46&lt;&gt;1,BIBLE!F127,"")</f>
        <v>L’autre parent considère que son nouveau ou nouvelle conjoint·e est un meilleur parent que vous.</v>
      </c>
      <c r="C216" s="463" t="str">
        <f>BIBLE!O127</f>
        <v>Nulle / Très faible / Faible / Moyenne / Élevée / Très élevée / S.O.</v>
      </c>
      <c r="D216" s="1290">
        <f>BIBLE!L127</f>
        <v>2</v>
      </c>
      <c r="E216" s="19"/>
      <c r="F216" s="19"/>
      <c r="G216" s="19"/>
      <c r="H216" s="19"/>
      <c r="I216" s="19"/>
      <c r="J216" s="19"/>
      <c r="K216" s="19">
        <v>1</v>
      </c>
      <c r="L216" s="19"/>
      <c r="M216" s="19"/>
      <c r="N216" s="19"/>
      <c r="O216" s="19"/>
      <c r="P216" s="1561">
        <f>'TEST_pour PROTOTYPE'!D194</f>
        <v>10</v>
      </c>
      <c r="Q216" s="24">
        <f t="shared" ref="Q216:Q221" si="82">P216*D216</f>
        <v>20</v>
      </c>
      <c r="R216" s="8">
        <f>IF(BIBLE!K127=0,"",BIBLE!K127)</f>
        <v>4</v>
      </c>
      <c r="S216" s="8"/>
      <c r="T216" s="8"/>
      <c r="U216" s="8"/>
      <c r="V216" s="6">
        <f>Q216</f>
        <v>20</v>
      </c>
      <c r="W216" s="8"/>
      <c r="X216" s="6">
        <f t="shared" ref="X216:AC221" si="83">IF($Q216&gt;0,X$109*$D216,0)</f>
        <v>0</v>
      </c>
      <c r="Y216" s="6">
        <f t="shared" si="83"/>
        <v>2</v>
      </c>
      <c r="Z216" s="6">
        <f t="shared" si="83"/>
        <v>4</v>
      </c>
      <c r="AA216" s="6">
        <f t="shared" si="83"/>
        <v>8</v>
      </c>
      <c r="AB216" s="6">
        <f t="shared" si="83"/>
        <v>14</v>
      </c>
      <c r="AC216" s="6">
        <f t="shared" si="83"/>
        <v>20</v>
      </c>
      <c r="AE216" s="477"/>
      <c r="AF216" s="38"/>
      <c r="AG216" s="38"/>
      <c r="AH216" s="22">
        <f>$V216*BIBLE!S127</f>
        <v>10</v>
      </c>
      <c r="AI216" s="22">
        <f>$V216*BIBLE!T127</f>
        <v>10</v>
      </c>
      <c r="AJ216" s="22">
        <f>$V216*BIBLE!U127</f>
        <v>0</v>
      </c>
      <c r="AK216" s="1236">
        <f>$V216*BIBLE!W127</f>
        <v>0</v>
      </c>
      <c r="AL216" s="1236">
        <f>$V216*BIBLE!X127</f>
        <v>0</v>
      </c>
      <c r="AM216" s="1236">
        <f>$V216*BIBLE!Y127</f>
        <v>0</v>
      </c>
      <c r="AN216" s="1236">
        <f>$V216*BIBLE!Z127</f>
        <v>0</v>
      </c>
      <c r="AO216" s="1236">
        <f>$V216*BIBLE!AA127</f>
        <v>0</v>
      </c>
      <c r="AP216" s="1236">
        <f>$V216*BIBLE!AB127</f>
        <v>20</v>
      </c>
      <c r="AQ216" s="1236">
        <f>$V216*BIBLE!AC127</f>
        <v>0</v>
      </c>
      <c r="AR216" s="1236">
        <f>$V216*BIBLE!AD127</f>
        <v>0</v>
      </c>
    </row>
    <row r="217" spans="1:44" s="7" customFormat="1" ht="65" customHeight="1" x14ac:dyDescent="0.2">
      <c r="A217" s="1198" t="str">
        <f>BIBLE!E128</f>
        <v>PFA27</v>
      </c>
      <c r="B217" s="133" t="str">
        <f>IF($P$53&gt;=$R$53,BIBLE!F128,"")</f>
        <v/>
      </c>
      <c r="C217" s="463" t="str">
        <f>BIBLE!O128</f>
        <v>Nulle / Très faible / Faible / Moyenne / Élevée / Très élevée / S.O.</v>
      </c>
      <c r="D217" s="1290">
        <f>BIBLE!L128</f>
        <v>2</v>
      </c>
      <c r="E217" s="19"/>
      <c r="F217" s="19"/>
      <c r="G217" s="19"/>
      <c r="H217" s="19"/>
      <c r="I217" s="19"/>
      <c r="J217" s="19"/>
      <c r="K217" s="19"/>
      <c r="L217" s="19"/>
      <c r="M217" s="19"/>
      <c r="N217" s="19"/>
      <c r="O217" s="19"/>
      <c r="P217" s="1561">
        <f>'TEST_pour PROTOTYPE'!D195</f>
        <v>0</v>
      </c>
      <c r="Q217" s="24">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477"/>
      <c r="AF217" s="38"/>
      <c r="AG217" s="38"/>
      <c r="AH217" s="22">
        <f>$V217*BIBLE!S128</f>
        <v>0</v>
      </c>
      <c r="AI217" s="22">
        <f>$V217*BIBLE!T128</f>
        <v>0</v>
      </c>
      <c r="AJ217" s="22">
        <f>$V217*BIBLE!U128</f>
        <v>0</v>
      </c>
      <c r="AK217" s="1236">
        <f>$V217*BIBLE!W128</f>
        <v>0</v>
      </c>
      <c r="AL217" s="1236">
        <f>$V217*BIBLE!X128</f>
        <v>0</v>
      </c>
      <c r="AM217" s="1236">
        <f>$V217*BIBLE!Y128</f>
        <v>0</v>
      </c>
      <c r="AN217" s="1236">
        <f>$V217*BIBLE!Z128</f>
        <v>0</v>
      </c>
      <c r="AO217" s="1236">
        <f>$V217*BIBLE!AA128</f>
        <v>0</v>
      </c>
      <c r="AP217" s="1236">
        <f>$V217*BIBLE!AB128</f>
        <v>0</v>
      </c>
      <c r="AQ217" s="1236">
        <f>$V217*BIBLE!AC128</f>
        <v>0</v>
      </c>
      <c r="AR217" s="1236">
        <f>$V217*BIBLE!AD128</f>
        <v>0</v>
      </c>
    </row>
    <row r="218" spans="1:44" s="7" customFormat="1" ht="65" customHeight="1" x14ac:dyDescent="0.2">
      <c r="A218" s="1198" t="str">
        <f>BIBLE!E129</f>
        <v>PFA28</v>
      </c>
      <c r="B218" s="133" t="str">
        <f>BIBLE!F129</f>
        <v xml:space="preserve">L’autre parent permet à votre enfant d'apporter des objets (jouets ou cadeaux reçus) provenant de chez vous. </v>
      </c>
      <c r="C218" s="463" t="str">
        <f>BIBLE!O129</f>
        <v>Toujours / Souvent / Régulièrement / Occasionnellement / Rarement / Jamais / S.O.</v>
      </c>
      <c r="D218" s="1290">
        <f>BIBLE!L129</f>
        <v>2</v>
      </c>
      <c r="E218" s="19"/>
      <c r="F218" s="19"/>
      <c r="G218" s="19"/>
      <c r="H218" s="19"/>
      <c r="I218" s="19"/>
      <c r="J218" s="19">
        <v>1</v>
      </c>
      <c r="K218" s="19"/>
      <c r="L218" s="19"/>
      <c r="M218" s="19"/>
      <c r="N218" s="19"/>
      <c r="O218" s="19"/>
      <c r="P218" s="1561">
        <f>'TEST_pour PROTOTYPE'!D196</f>
        <v>7</v>
      </c>
      <c r="Q218" s="24">
        <f t="shared" si="82"/>
        <v>14</v>
      </c>
      <c r="R218" s="8">
        <f>IF(BIBLE!K129=0,"",BIBLE!K129)</f>
        <v>4</v>
      </c>
      <c r="S218" s="8"/>
      <c r="T218" s="8"/>
      <c r="U218" s="8"/>
      <c r="V218" s="6">
        <f>IF(P218&gt;=R218,IF(Q218&gt;Q219,Q218,Q219),Q218)</f>
        <v>14</v>
      </c>
      <c r="W218" s="8"/>
      <c r="X218" s="6">
        <f t="shared" ref="X218:AC218" si="84">IF(($P218&gt;=$R218),IF($Q218&gt;$Q219,X$109*$D218,X$109*$D219),X$109*$D218)</f>
        <v>0</v>
      </c>
      <c r="Y218" s="6">
        <f t="shared" si="84"/>
        <v>2</v>
      </c>
      <c r="Z218" s="6">
        <f t="shared" si="84"/>
        <v>4</v>
      </c>
      <c r="AA218" s="6">
        <f t="shared" si="84"/>
        <v>8</v>
      </c>
      <c r="AB218" s="6">
        <f t="shared" si="84"/>
        <v>14</v>
      </c>
      <c r="AC218" s="6">
        <f t="shared" si="84"/>
        <v>20</v>
      </c>
      <c r="AE218" s="477"/>
      <c r="AF218" s="38"/>
      <c r="AG218" s="38"/>
      <c r="AH218" s="22">
        <f>IF($Q218=$V218,$Q218*BIBLE!S129,$Q219*BIBLE!S130)</f>
        <v>14</v>
      </c>
      <c r="AI218" s="22">
        <f>IF($Q218=$V218,$Q218*BIBLE!T129,$Q219*BIBLE!T130)</f>
        <v>0</v>
      </c>
      <c r="AJ218" s="22">
        <f>IF($Q218=$V218,$Q218*BIBLE!U129,$Q219*BIBLE!U130)</f>
        <v>0</v>
      </c>
      <c r="AK218" s="1236">
        <f>IF($Q218=$V218,$Q218*BIBLE!W129,$Q219*BIBLE!W130)</f>
        <v>0</v>
      </c>
      <c r="AL218" s="1236">
        <f>IF($Q218=$V218,$Q218*BIBLE!X129,$Q219*BIBLE!X130)</f>
        <v>0</v>
      </c>
      <c r="AM218" s="1236">
        <f>IF($Q218=$V218,$Q218*BIBLE!Y129,$Q219*BIBLE!Y130)</f>
        <v>0</v>
      </c>
      <c r="AN218" s="1236">
        <f>IF($Q218=$V218,$Q218*BIBLE!Z129,$Q219*BIBLE!Z130)</f>
        <v>0</v>
      </c>
      <c r="AO218" s="1236">
        <f>IF($Q218=$V218,$Q218*BIBLE!AA129,$Q219*BIBLE!AA130)</f>
        <v>0</v>
      </c>
      <c r="AP218" s="1236">
        <f>IF($Q218=$V218,$Q218*BIBLE!AB129,$Q219*BIBLE!AB130)</f>
        <v>14</v>
      </c>
      <c r="AQ218" s="1236">
        <f>IF($Q218=$V218,$Q218*BIBLE!AC129,$Q219*BIBLE!AC130)</f>
        <v>0</v>
      </c>
      <c r="AR218" s="1236">
        <f>IF($Q218=$V218,$Q218*BIBLE!AD129,$Q219*BIBLE!AD130)</f>
        <v>0</v>
      </c>
    </row>
    <row r="219" spans="1:44" s="7" customFormat="1" ht="65" customHeight="1" x14ac:dyDescent="0.2">
      <c r="A219" s="1198" t="str">
        <f>BIBLE!E130</f>
        <v>PFA28a</v>
      </c>
      <c r="B219" s="134" t="str">
        <f>IF(P218&gt;=R218,BIBLE!F130,"")</f>
        <v xml:space="preserve">L’autre parent jette les cadeaux que vous avez offerts à votre enfant ou proscrit les photographies de vous dans sa demeure. </v>
      </c>
      <c r="C219" s="463" t="str">
        <f>BIBLE!O130</f>
        <v>Nulle / Très faible / Faible / Moyenne / Élevée / Très élevée / S.O.</v>
      </c>
      <c r="D219" s="1290">
        <f>BIBLE!L130</f>
        <v>3</v>
      </c>
      <c r="E219" s="19"/>
      <c r="F219" s="19"/>
      <c r="G219" s="19"/>
      <c r="H219" s="19"/>
      <c r="I219" s="19">
        <v>1</v>
      </c>
      <c r="J219" s="19"/>
      <c r="K219" s="19"/>
      <c r="L219" s="19"/>
      <c r="M219" s="19"/>
      <c r="N219" s="19"/>
      <c r="O219" s="19"/>
      <c r="P219" s="1561">
        <f>'TEST_pour PROTOTYPE'!D197</f>
        <v>4</v>
      </c>
      <c r="Q219" s="24">
        <f t="shared" si="82"/>
        <v>12</v>
      </c>
      <c r="R219" s="8" t="str">
        <f>IF(BIBLE!K130=0,"",BIBLE!K130)</f>
        <v/>
      </c>
      <c r="S219" s="8"/>
      <c r="T219" s="8"/>
      <c r="U219" s="8"/>
      <c r="V219" s="6"/>
      <c r="W219" s="8"/>
      <c r="X219" s="6"/>
      <c r="Y219" s="6"/>
      <c r="Z219" s="6"/>
      <c r="AA219" s="6"/>
      <c r="AB219" s="6"/>
      <c r="AC219" s="6"/>
      <c r="AE219" s="477"/>
      <c r="AF219" s="38"/>
      <c r="AG219" s="38"/>
      <c r="AH219" s="69"/>
      <c r="AI219" s="69"/>
      <c r="AJ219" s="69"/>
      <c r="AK219" s="683"/>
      <c r="AL219" s="683"/>
      <c r="AM219" s="683"/>
      <c r="AN219" s="683"/>
      <c r="AO219" s="683"/>
      <c r="AP219" s="683"/>
      <c r="AQ219" s="683"/>
      <c r="AR219" s="683"/>
    </row>
    <row r="220" spans="1:44" s="7" customFormat="1" ht="65" customHeight="1" x14ac:dyDescent="0.2">
      <c r="A220" s="1198" t="str">
        <f>BIBLE!E131</f>
        <v>PFA39</v>
      </c>
      <c r="B220" s="133" t="str">
        <f>IF($P$53&gt;=$R$53,BIBLE!F131,"")</f>
        <v/>
      </c>
      <c r="C220" s="463" t="str">
        <f>BIBLE!O131</f>
        <v>Nulle / Très faible / Faible / Moyenne / Élevée / Très élevée / S.O.</v>
      </c>
      <c r="D220" s="1290">
        <f>BIBLE!L131</f>
        <v>3</v>
      </c>
      <c r="E220" s="19"/>
      <c r="F220" s="19"/>
      <c r="G220" s="19"/>
      <c r="H220" s="19"/>
      <c r="I220" s="19"/>
      <c r="J220" s="19"/>
      <c r="K220" s="19"/>
      <c r="L220" s="19"/>
      <c r="M220" s="19"/>
      <c r="N220" s="19"/>
      <c r="O220" s="19"/>
      <c r="P220" s="1561">
        <f>'TEST_pour PROTOTYPE'!D198</f>
        <v>0</v>
      </c>
      <c r="Q220" s="24">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477"/>
      <c r="AF220" s="38"/>
      <c r="AG220" s="38"/>
      <c r="AH220" s="69"/>
      <c r="AI220" s="69"/>
      <c r="AJ220" s="69"/>
      <c r="AK220" s="683"/>
      <c r="AL220" s="683"/>
      <c r="AM220" s="683"/>
      <c r="AN220" s="683"/>
      <c r="AO220" s="683"/>
      <c r="AP220" s="683"/>
      <c r="AQ220" s="683"/>
      <c r="AR220" s="683"/>
    </row>
    <row r="221" spans="1:44" s="7" customFormat="1" ht="65" customHeight="1" x14ac:dyDescent="0.2">
      <c r="A221" s="1198" t="str">
        <f>BIBLE!E132</f>
        <v>PFA29</v>
      </c>
      <c r="B221" s="133" t="str">
        <f>BIBLE!F132</f>
        <v>L'autre parent prend des décisions sans vous consulter.</v>
      </c>
      <c r="C221" s="463" t="str">
        <f>BIBLE!O132</f>
        <v xml:space="preserve">Jamais / Rarement / Occasionnellement / Régulièrement / Souvent / Toujours / S.O. </v>
      </c>
      <c r="D221" s="1290">
        <f>BIBLE!L132</f>
        <v>2</v>
      </c>
      <c r="E221" s="8"/>
      <c r="F221" s="19"/>
      <c r="G221" s="19"/>
      <c r="H221" s="19"/>
      <c r="I221" s="19"/>
      <c r="J221" s="19">
        <v>1</v>
      </c>
      <c r="K221" s="19"/>
      <c r="L221" s="19"/>
      <c r="M221" s="19"/>
      <c r="N221" s="19"/>
      <c r="O221" s="19"/>
      <c r="P221" s="1561">
        <f>'TEST_pour PROTOTYPE'!D199</f>
        <v>7</v>
      </c>
      <c r="Q221" s="24">
        <f t="shared" si="82"/>
        <v>14</v>
      </c>
      <c r="R221" s="8">
        <f>IF(BIBLE!K132=0,"",BIBLE!K132)</f>
        <v>2</v>
      </c>
      <c r="S221" s="8"/>
      <c r="T221" s="8"/>
      <c r="U221" s="8"/>
      <c r="V221" s="6">
        <f>Q221</f>
        <v>14</v>
      </c>
      <c r="W221" s="8"/>
      <c r="X221" s="6">
        <f>IF($Q221&gt;0,X$109*$D221,0)</f>
        <v>0</v>
      </c>
      <c r="Y221" s="6">
        <f>IF($Q221&gt;0,Y$109*$D221,0)</f>
        <v>2</v>
      </c>
      <c r="Z221" s="6">
        <f t="shared" si="83"/>
        <v>4</v>
      </c>
      <c r="AA221" s="6">
        <f t="shared" si="83"/>
        <v>8</v>
      </c>
      <c r="AB221" s="6">
        <f t="shared" si="83"/>
        <v>14</v>
      </c>
      <c r="AC221" s="6">
        <f t="shared" si="83"/>
        <v>20</v>
      </c>
      <c r="AE221" s="477"/>
      <c r="AF221" s="38"/>
      <c r="AG221" s="38"/>
      <c r="AH221" s="69"/>
      <c r="AI221" s="69"/>
      <c r="AJ221" s="69"/>
      <c r="AK221" s="683"/>
      <c r="AL221" s="683"/>
      <c r="AM221" s="683"/>
      <c r="AN221" s="683"/>
      <c r="AO221" s="683"/>
      <c r="AP221" s="683"/>
      <c r="AQ221" s="683"/>
      <c r="AR221" s="683"/>
    </row>
    <row r="222" spans="1:44" s="7" customFormat="1" ht="43" customHeight="1" x14ac:dyDescent="0.2">
      <c r="A222" s="1198" t="str">
        <f>BIBLE!E133</f>
        <v>PFA29a</v>
      </c>
      <c r="B222" s="134" t="str">
        <f>IF(P$221&gt;=R$221,BIBLE!F133,"")</f>
        <v>Quels types de décisions ont été prises sans votre consentement ou connaissance de votre part ?</v>
      </c>
      <c r="C222" s="557"/>
      <c r="D222" s="1290"/>
      <c r="E222" s="8">
        <f>(D223*E223)+(D224*E224)+(D225*E225)+(D226*E226)+(D227*E227)</f>
        <v>25</v>
      </c>
      <c r="F222" s="19"/>
      <c r="G222" s="19"/>
      <c r="H222" s="19"/>
      <c r="I222" s="19"/>
      <c r="J222" s="19"/>
      <c r="K222" s="19"/>
      <c r="L222" s="19"/>
      <c r="M222" s="19"/>
      <c r="N222" s="19"/>
      <c r="O222" s="1563" t="s">
        <v>1296</v>
      </c>
      <c r="P222" s="24">
        <f>SUM(P223:P228)</f>
        <v>25</v>
      </c>
      <c r="Q222" s="24"/>
      <c r="R222" s="8" t="str">
        <f>IF(BIBLE!K133=0,"",BIBLE!K133)</f>
        <v/>
      </c>
      <c r="S222" s="8"/>
      <c r="T222" s="8"/>
      <c r="U222" s="8"/>
      <c r="V222" s="6"/>
      <c r="W222" s="8"/>
      <c r="X222" s="8"/>
      <c r="Y222" s="8"/>
      <c r="Z222" s="8"/>
      <c r="AA222" s="8"/>
      <c r="AB222" s="8"/>
      <c r="AC222" s="8"/>
      <c r="AE222" s="477"/>
      <c r="AF222" s="38"/>
      <c r="AG222" s="38"/>
      <c r="AH222" s="69"/>
      <c r="AI222" s="69"/>
      <c r="AJ222" s="69"/>
      <c r="AK222" s="683"/>
      <c r="AL222" s="683"/>
      <c r="AM222" s="683"/>
      <c r="AN222" s="683"/>
      <c r="AO222" s="683"/>
      <c r="AP222" s="683"/>
      <c r="AQ222" s="683"/>
      <c r="AR222" s="683"/>
    </row>
    <row r="223" spans="1:44" s="7" customFormat="1" ht="31" customHeight="1" x14ac:dyDescent="0.2">
      <c r="A223" s="1198"/>
      <c r="B223" s="137" t="str">
        <f>IF(P$221&gt;=R$221,"Choix d'école et/ou inscription (primaire et secondaire)","")</f>
        <v>Choix d'école et/ou inscription (primaire et secondaire)</v>
      </c>
      <c r="C223" s="557" t="str">
        <f>IF(BIBLE!H135=0,"",BIBLE!H135)</f>
        <v/>
      </c>
      <c r="D223" s="1459">
        <v>7</v>
      </c>
      <c r="E223" s="1477">
        <f>'TEST_pour PROTOTYPE'!D200</f>
        <v>1</v>
      </c>
      <c r="F223" s="19"/>
      <c r="G223" s="19"/>
      <c r="H223" s="19"/>
      <c r="I223" s="19"/>
      <c r="J223" s="19"/>
      <c r="K223" s="19"/>
      <c r="L223" s="19"/>
      <c r="M223" s="19"/>
      <c r="N223" s="19"/>
      <c r="O223" s="19"/>
      <c r="P223" s="1485">
        <f>D223*E223</f>
        <v>7</v>
      </c>
      <c r="Q223" s="24"/>
      <c r="R223" s="8"/>
      <c r="S223" s="8"/>
      <c r="T223" s="8"/>
      <c r="U223" s="8"/>
      <c r="V223" s="6"/>
      <c r="W223" s="8"/>
      <c r="X223" s="8"/>
      <c r="Y223" s="8"/>
      <c r="Z223" s="8"/>
      <c r="AA223" s="8"/>
      <c r="AB223" s="8"/>
      <c r="AC223" s="8"/>
      <c r="AE223" s="477"/>
      <c r="AF223" s="38"/>
      <c r="AG223" s="38"/>
      <c r="AH223" s="69"/>
      <c r="AI223" s="69"/>
      <c r="AJ223" s="69"/>
      <c r="AK223" s="683"/>
      <c r="AL223" s="683"/>
      <c r="AM223" s="683"/>
      <c r="AN223" s="683"/>
      <c r="AO223" s="683"/>
      <c r="AP223" s="683"/>
      <c r="AQ223" s="683"/>
      <c r="AR223" s="683"/>
    </row>
    <row r="224" spans="1:44" s="7" customFormat="1" ht="31" customHeight="1" x14ac:dyDescent="0.2">
      <c r="A224" s="1198"/>
      <c r="B224" s="137" t="str">
        <f>IF(P$221&gt;=R$221,"Choix de club|programme sportif ou calendrier sportif","")</f>
        <v>Choix de club|programme sportif ou calendrier sportif</v>
      </c>
      <c r="C224" s="557" t="str">
        <f>IF(BIBLE!H136=0,"",BIBLE!H136)</f>
        <v/>
      </c>
      <c r="D224" s="1459">
        <v>3</v>
      </c>
      <c r="E224" s="1477">
        <f>'TEST_pour PROTOTYPE'!D201</f>
        <v>0</v>
      </c>
      <c r="F224" s="19"/>
      <c r="G224" s="19"/>
      <c r="H224" s="19"/>
      <c r="I224" s="19"/>
      <c r="J224" s="19"/>
      <c r="K224" s="19"/>
      <c r="L224" s="19"/>
      <c r="M224" s="19"/>
      <c r="N224" s="19"/>
      <c r="O224" s="19"/>
      <c r="P224" s="1485">
        <f t="shared" ref="P224:P228" si="85">D224*E224</f>
        <v>0</v>
      </c>
      <c r="Q224" s="24"/>
      <c r="R224" s="8"/>
      <c r="S224" s="8"/>
      <c r="T224" s="8"/>
      <c r="U224" s="8"/>
      <c r="V224" s="6"/>
      <c r="W224" s="8"/>
      <c r="X224" s="8"/>
      <c r="Y224" s="8"/>
      <c r="Z224" s="8"/>
      <c r="AA224" s="8"/>
      <c r="AB224" s="8"/>
      <c r="AC224" s="8"/>
      <c r="AE224" s="477"/>
      <c r="AF224" s="38"/>
      <c r="AG224" s="38"/>
      <c r="AH224" s="69"/>
      <c r="AI224" s="69"/>
      <c r="AJ224" s="69"/>
      <c r="AK224" s="683"/>
      <c r="AL224" s="683"/>
      <c r="AM224" s="683"/>
      <c r="AN224" s="683"/>
      <c r="AO224" s="683"/>
      <c r="AP224" s="683"/>
      <c r="AQ224" s="683"/>
      <c r="AR224" s="683"/>
    </row>
    <row r="225" spans="1:54" s="7" customFormat="1" ht="31" customHeight="1" x14ac:dyDescent="0.2">
      <c r="A225" s="1198"/>
      <c r="B225" s="137" t="str">
        <f>IF(P$221&gt;=R$221,"Soins médicaux ou dentaires","")</f>
        <v>Soins médicaux ou dentaires</v>
      </c>
      <c r="C225" s="557"/>
      <c r="D225" s="1459">
        <v>3</v>
      </c>
      <c r="E225" s="1477">
        <f>'TEST_pour PROTOTYPE'!D202</f>
        <v>1</v>
      </c>
      <c r="F225" s="19"/>
      <c r="G225" s="19"/>
      <c r="H225" s="19"/>
      <c r="I225" s="19"/>
      <c r="J225" s="19"/>
      <c r="K225" s="19"/>
      <c r="L225" s="19"/>
      <c r="M225" s="19"/>
      <c r="N225" s="19"/>
      <c r="O225" s="19"/>
      <c r="P225" s="1485">
        <f t="shared" si="85"/>
        <v>3</v>
      </c>
      <c r="Q225" s="24"/>
      <c r="R225" s="8"/>
      <c r="S225" s="8"/>
      <c r="T225" s="8"/>
      <c r="U225" s="8"/>
      <c r="V225" s="6"/>
      <c r="W225" s="8"/>
      <c r="X225" s="8"/>
      <c r="Y225" s="8"/>
      <c r="Z225" s="8"/>
      <c r="AA225" s="8"/>
      <c r="AB225" s="8"/>
      <c r="AC225" s="8"/>
      <c r="AE225" s="477"/>
      <c r="AF225" s="38"/>
      <c r="AG225" s="38"/>
      <c r="AH225" s="69"/>
      <c r="AI225" s="69"/>
      <c r="AJ225" s="69"/>
      <c r="AK225" s="683"/>
      <c r="AL225" s="683"/>
      <c r="AM225" s="683"/>
      <c r="AN225" s="683"/>
      <c r="AO225" s="683"/>
      <c r="AP225" s="683"/>
      <c r="AQ225" s="683"/>
      <c r="AR225" s="683"/>
    </row>
    <row r="226" spans="1:54" s="7" customFormat="1" ht="31" customHeight="1" x14ac:dyDescent="0.2">
      <c r="A226" s="1198"/>
      <c r="B226" s="137" t="str">
        <f>IF(P$221&gt;=R$221,"Déménagement (forçant un changement majeur ou autres)","")</f>
        <v>Déménagement (forçant un changement majeur ou autres)</v>
      </c>
      <c r="C226" s="557"/>
      <c r="D226" s="1459">
        <v>10</v>
      </c>
      <c r="E226" s="1477">
        <f>'TEST_pour PROTOTYPE'!D203</f>
        <v>1</v>
      </c>
      <c r="F226" s="19"/>
      <c r="G226" s="19"/>
      <c r="H226" s="19"/>
      <c r="I226" s="19"/>
      <c r="J226" s="19"/>
      <c r="K226" s="19"/>
      <c r="L226" s="19"/>
      <c r="M226" s="19"/>
      <c r="N226" s="19"/>
      <c r="O226" s="19"/>
      <c r="P226" s="1485">
        <f t="shared" si="85"/>
        <v>10</v>
      </c>
      <c r="Q226" s="24"/>
      <c r="R226" s="8"/>
      <c r="S226" s="8"/>
      <c r="T226" s="8"/>
      <c r="U226" s="8"/>
      <c r="V226" s="6"/>
      <c r="W226" s="8"/>
      <c r="X226" s="8"/>
      <c r="Y226" s="8"/>
      <c r="Z226" s="8"/>
      <c r="AA226" s="8"/>
      <c r="AB226" s="8"/>
      <c r="AC226" s="8"/>
      <c r="AE226" s="477"/>
      <c r="AF226" s="38"/>
      <c r="AG226" s="38"/>
      <c r="AH226" s="69"/>
      <c r="AI226" s="69"/>
      <c r="AJ226" s="69"/>
      <c r="AK226" s="683"/>
      <c r="AL226" s="683"/>
      <c r="AM226" s="683"/>
      <c r="AN226" s="683"/>
      <c r="AO226" s="683"/>
      <c r="AP226" s="683"/>
      <c r="AQ226" s="683"/>
      <c r="AR226" s="683"/>
    </row>
    <row r="227" spans="1:54" s="7" customFormat="1" ht="31" customHeight="1" x14ac:dyDescent="0.2">
      <c r="A227" s="1198"/>
      <c r="B227" s="137" t="str">
        <f>IF(P$221&gt;=R$221,"Achat d'une valeur significative (auto, animal,…)","")</f>
        <v>Achat d'une valeur significative (auto, animal,…)</v>
      </c>
      <c r="C227" s="557"/>
      <c r="D227" s="1459">
        <v>5</v>
      </c>
      <c r="E227" s="1477">
        <f>'TEST_pour PROTOTYPE'!D204</f>
        <v>1</v>
      </c>
      <c r="F227" s="19"/>
      <c r="G227" s="19"/>
      <c r="H227" s="19"/>
      <c r="I227" s="19"/>
      <c r="J227" s="19"/>
      <c r="K227" s="19"/>
      <c r="L227" s="19"/>
      <c r="M227" s="19"/>
      <c r="N227" s="19"/>
      <c r="O227" s="19"/>
      <c r="P227" s="1485">
        <f t="shared" si="85"/>
        <v>5</v>
      </c>
      <c r="Q227" s="24"/>
      <c r="R227" s="8"/>
      <c r="S227" s="8"/>
      <c r="T227" s="8"/>
      <c r="U227" s="8"/>
      <c r="V227" s="6"/>
      <c r="W227" s="8"/>
      <c r="X227" s="8"/>
      <c r="Y227" s="8"/>
      <c r="Z227" s="8"/>
      <c r="AA227" s="8"/>
      <c r="AB227" s="8"/>
      <c r="AC227" s="8"/>
      <c r="AE227" s="477"/>
      <c r="AF227" s="38"/>
      <c r="AG227" s="38"/>
      <c r="AH227" s="69"/>
      <c r="AI227" s="69"/>
      <c r="AJ227" s="69"/>
      <c r="AK227" s="683"/>
      <c r="AL227" s="683"/>
      <c r="AM227" s="683"/>
      <c r="AN227" s="683"/>
      <c r="AO227" s="683"/>
      <c r="AP227" s="683"/>
      <c r="AQ227" s="683"/>
      <c r="AR227" s="683"/>
    </row>
    <row r="228" spans="1:54" s="7" customFormat="1" ht="31" customHeight="1" x14ac:dyDescent="0.2">
      <c r="A228" s="1198"/>
      <c r="B228" s="137" t="str">
        <f>IF(P$221&gt;=R$221,"Décisions engendrant des coûts significatifs sans votre consentement préalable","")</f>
        <v>Décisions engendrant des coûts significatifs sans votre consentement préalable</v>
      </c>
      <c r="C228" s="557"/>
      <c r="D228" s="1459">
        <v>1</v>
      </c>
      <c r="E228" s="1477">
        <f>'TEST_pour PROTOTYPE'!D205</f>
        <v>0</v>
      </c>
      <c r="F228" s="19"/>
      <c r="G228" s="19"/>
      <c r="H228" s="19"/>
      <c r="I228" s="19"/>
      <c r="J228" s="19"/>
      <c r="K228" s="19"/>
      <c r="L228" s="19"/>
      <c r="M228" s="19"/>
      <c r="N228" s="19"/>
      <c r="O228" s="19"/>
      <c r="P228" s="1485">
        <f t="shared" si="85"/>
        <v>0</v>
      </c>
      <c r="Q228" s="24"/>
      <c r="R228" s="8"/>
      <c r="S228" s="8"/>
      <c r="T228" s="8"/>
      <c r="U228" s="8"/>
      <c r="V228" s="6"/>
      <c r="W228" s="8"/>
      <c r="X228" s="8"/>
      <c r="Y228" s="8"/>
      <c r="Z228" s="8"/>
      <c r="AA228" s="8"/>
      <c r="AB228" s="8"/>
      <c r="AC228" s="8"/>
      <c r="AE228" s="477"/>
      <c r="AF228" s="38"/>
      <c r="AG228" s="38"/>
      <c r="AH228" s="69"/>
      <c r="AI228" s="69"/>
      <c r="AJ228" s="69"/>
      <c r="AK228" s="683"/>
      <c r="AL228" s="683"/>
      <c r="AM228" s="683"/>
      <c r="AN228" s="683"/>
      <c r="AO228" s="683"/>
      <c r="AP228" s="683"/>
      <c r="AQ228" s="683"/>
      <c r="AR228" s="683"/>
    </row>
    <row r="229" spans="1:54" s="7" customFormat="1" ht="31" customHeight="1" x14ac:dyDescent="0.2">
      <c r="A229" s="1198"/>
      <c r="B229" s="137" t="str">
        <f>IF(P$221&gt;=R$221,"Autre (spécifiez)","")</f>
        <v>Autre (spécifiez)</v>
      </c>
      <c r="C229" s="557"/>
      <c r="D229" s="1459" t="s">
        <v>1169</v>
      </c>
      <c r="E229" s="19"/>
      <c r="F229" s="19"/>
      <c r="G229" s="19"/>
      <c r="H229" s="19"/>
      <c r="I229" s="19"/>
      <c r="J229" s="19"/>
      <c r="K229" s="19"/>
      <c r="L229" s="19"/>
      <c r="M229" s="19"/>
      <c r="N229" s="19"/>
      <c r="O229" s="19"/>
      <c r="P229" s="1485"/>
      <c r="Q229" s="24"/>
      <c r="R229" s="8"/>
      <c r="S229" s="8"/>
      <c r="T229" s="8"/>
      <c r="U229" s="8"/>
      <c r="V229" s="6"/>
      <c r="W229" s="8"/>
      <c r="X229" s="8"/>
      <c r="Y229" s="8"/>
      <c r="Z229" s="8"/>
      <c r="AA229" s="8"/>
      <c r="AB229" s="8"/>
      <c r="AC229" s="8"/>
      <c r="AE229" s="477"/>
      <c r="AF229" s="38"/>
      <c r="AG229" s="38"/>
      <c r="AH229" s="69"/>
      <c r="AI229" s="69"/>
      <c r="AJ229" s="69"/>
      <c r="AK229" s="683"/>
      <c r="AL229" s="683"/>
      <c r="AM229" s="683"/>
      <c r="AN229" s="683"/>
      <c r="AO229" s="683"/>
      <c r="AP229" s="683"/>
      <c r="AQ229" s="683"/>
      <c r="AR229" s="683"/>
    </row>
    <row r="230" spans="1:54" s="7" customFormat="1" ht="22" customHeight="1" x14ac:dyDescent="0.2">
      <c r="A230" s="1198"/>
      <c r="B230" s="137"/>
      <c r="C230" s="557"/>
      <c r="D230" s="24"/>
      <c r="E230" s="24"/>
      <c r="F230" s="19"/>
      <c r="G230" s="19"/>
      <c r="H230" s="19"/>
      <c r="I230" s="19"/>
      <c r="J230" s="19"/>
      <c r="K230" s="19"/>
      <c r="L230" s="19"/>
      <c r="M230" s="19"/>
      <c r="N230" s="19"/>
      <c r="O230" s="19"/>
      <c r="P230" s="24"/>
      <c r="Q230" s="24"/>
      <c r="R230" s="8"/>
      <c r="S230" s="8"/>
      <c r="T230" s="8"/>
      <c r="U230" s="8"/>
      <c r="V230" s="6"/>
      <c r="W230" s="8"/>
      <c r="X230" s="8"/>
      <c r="Y230" s="8"/>
      <c r="Z230" s="8"/>
      <c r="AA230" s="8"/>
      <c r="AB230" s="8"/>
      <c r="AC230" s="8"/>
      <c r="AE230" s="477"/>
      <c r="AF230" s="38"/>
      <c r="AG230" s="38"/>
      <c r="AH230" s="69"/>
      <c r="AI230" s="69"/>
      <c r="AJ230" s="69"/>
      <c r="AK230" s="683"/>
      <c r="AL230" s="683"/>
      <c r="AM230" s="683"/>
      <c r="AN230" s="683"/>
      <c r="AO230" s="683"/>
      <c r="AP230" s="683"/>
      <c r="AQ230" s="683"/>
      <c r="AR230" s="683"/>
    </row>
    <row r="231" spans="1:54" s="7" customFormat="1" ht="39" customHeight="1" x14ac:dyDescent="0.2">
      <c r="A231" s="1198" t="str">
        <f>BIBLE!E134</f>
        <v>PFA29b</v>
      </c>
      <c r="B231" s="134" t="str">
        <f>IF(P221&gt;=R221,BIBLE!F134,"")</f>
        <v>Avez-vous été déchu·e (totalement ou en partie) de votre autorité parentale ?</v>
      </c>
      <c r="C231" s="100" t="s">
        <v>230</v>
      </c>
      <c r="D231" s="1655">
        <v>1</v>
      </c>
      <c r="E231" s="37">
        <f>IF(P$231=D231,1,"x")</f>
        <v>1</v>
      </c>
      <c r="F231" s="19"/>
      <c r="G231" s="19"/>
      <c r="H231" s="19"/>
      <c r="I231" s="19"/>
      <c r="J231" s="19"/>
      <c r="K231" s="19"/>
      <c r="L231" s="19"/>
      <c r="M231" s="19"/>
      <c r="N231" s="19"/>
      <c r="O231" s="19"/>
      <c r="P231" s="1500">
        <f>'TEST_pour PROTOTYPE'!D206</f>
        <v>1</v>
      </c>
      <c r="Q231" s="24"/>
      <c r="R231" s="8" t="str">
        <f>IF(BIBLE!K134=0,"",BIBLE!K134)</f>
        <v/>
      </c>
      <c r="S231" s="8"/>
      <c r="T231" s="8"/>
      <c r="U231" s="8"/>
      <c r="V231" s="6"/>
      <c r="W231" s="8"/>
      <c r="X231" s="8"/>
      <c r="Y231" s="8"/>
      <c r="Z231" s="8"/>
      <c r="AA231" s="8"/>
      <c r="AB231" s="8"/>
      <c r="AC231" s="8"/>
      <c r="AE231" s="477"/>
      <c r="AF231" s="38"/>
      <c r="AG231" s="38"/>
      <c r="AH231" s="69"/>
      <c r="AI231" s="69"/>
      <c r="AJ231" s="69"/>
      <c r="AK231" s="683"/>
      <c r="AL231" s="683"/>
      <c r="AM231" s="683"/>
      <c r="AN231" s="683"/>
      <c r="AO231" s="683"/>
      <c r="AP231" s="683"/>
      <c r="AQ231" s="683"/>
      <c r="AR231" s="683"/>
    </row>
    <row r="232" spans="1:54" s="7" customFormat="1" ht="25" customHeight="1" x14ac:dyDescent="0.2">
      <c r="A232" s="1198"/>
      <c r="B232" s="134"/>
      <c r="C232" s="100" t="s">
        <v>231</v>
      </c>
      <c r="D232" s="1656">
        <v>0</v>
      </c>
      <c r="E232" s="37" t="str">
        <f>IF(P$231=D232,1,"x")</f>
        <v>x</v>
      </c>
      <c r="F232" s="19"/>
      <c r="G232" s="19"/>
      <c r="H232" s="19"/>
      <c r="I232" s="19"/>
      <c r="J232" s="19"/>
      <c r="K232" s="19"/>
      <c r="L232" s="19"/>
      <c r="M232" s="19"/>
      <c r="N232" s="19"/>
      <c r="O232" s="19"/>
      <c r="P232" s="24"/>
      <c r="Q232" s="24"/>
      <c r="R232" s="8"/>
      <c r="S232" s="8"/>
      <c r="T232" s="8"/>
      <c r="U232" s="8"/>
      <c r="V232" s="6"/>
      <c r="W232" s="8"/>
      <c r="X232" s="8"/>
      <c r="Y232" s="8"/>
      <c r="Z232" s="8"/>
      <c r="AA232" s="8"/>
      <c r="AB232" s="8"/>
      <c r="AC232" s="8"/>
      <c r="AE232" s="477"/>
      <c r="AF232" s="38"/>
      <c r="AG232" s="38"/>
      <c r="AH232" s="69"/>
      <c r="AI232" s="69"/>
      <c r="AJ232" s="69"/>
      <c r="AK232" s="683"/>
      <c r="AL232" s="683"/>
      <c r="AM232" s="683"/>
      <c r="AN232" s="683"/>
      <c r="AO232" s="683"/>
      <c r="AP232" s="683"/>
      <c r="AQ232" s="683"/>
      <c r="AR232" s="683"/>
    </row>
    <row r="233" spans="1:54" s="7" customFormat="1" ht="15" customHeight="1" x14ac:dyDescent="0.2">
      <c r="A233" s="1198"/>
      <c r="C233" s="22" t="str">
        <f>IF(BIBLE!H137=0,"",BIBLE!H137)</f>
        <v/>
      </c>
      <c r="D233" s="1290"/>
      <c r="E233" s="19"/>
      <c r="F233" s="19"/>
      <c r="G233" s="19"/>
      <c r="H233" s="19"/>
      <c r="I233" s="19"/>
      <c r="J233" s="19"/>
      <c r="K233" s="19"/>
      <c r="L233" s="19"/>
      <c r="M233" s="19"/>
      <c r="N233" s="19"/>
      <c r="O233" s="19"/>
      <c r="P233" s="24"/>
      <c r="Q233" s="24"/>
      <c r="R233" s="8"/>
      <c r="S233" s="8"/>
      <c r="T233" s="8"/>
      <c r="U233" s="8"/>
      <c r="V233" s="6"/>
      <c r="W233" s="8"/>
      <c r="X233" s="8"/>
      <c r="Y233" s="8"/>
      <c r="Z233" s="8"/>
      <c r="AA233" s="8"/>
      <c r="AB233" s="8"/>
      <c r="AC233" s="8"/>
      <c r="AE233" s="477"/>
      <c r="AF233" s="38"/>
      <c r="AG233" s="38"/>
      <c r="AH233" s="69"/>
      <c r="AI233" s="69"/>
      <c r="AJ233" s="69"/>
      <c r="AK233" s="683"/>
      <c r="AL233" s="683"/>
      <c r="AM233" s="683"/>
      <c r="AN233" s="683"/>
      <c r="AO233" s="683"/>
      <c r="AP233" s="683"/>
      <c r="AQ233" s="683"/>
      <c r="AR233" s="683"/>
    </row>
    <row r="234" spans="1:54" s="7" customFormat="1" ht="79" customHeight="1" x14ac:dyDescent="0.2">
      <c r="A234" s="1198" t="str">
        <f>BIBLE!E135</f>
        <v>PFA30</v>
      </c>
      <c r="B234" s="133" t="str">
        <f>IF(OR($P$53&gt;=$R$53,$P$59&gt;=3),BIBLE!F135,"")</f>
        <v>L’autre parent incite, consciemment ou inconsciemment, votre enfant à choisir entre ses deux parents.</v>
      </c>
      <c r="C234" s="463" t="str">
        <f>BIBLE!O135</f>
        <v>Nulle / Très faible / Faible / Moyenne / Élevée / Très élevée / S.O.</v>
      </c>
      <c r="D234" s="1290">
        <f>BIBLE!L135</f>
        <v>3</v>
      </c>
      <c r="E234" s="19"/>
      <c r="F234" s="19"/>
      <c r="G234" s="19"/>
      <c r="H234" s="19"/>
      <c r="I234" s="19"/>
      <c r="J234" s="19">
        <v>1</v>
      </c>
      <c r="K234" s="19"/>
      <c r="L234" s="19"/>
      <c r="M234" s="19"/>
      <c r="N234" s="19"/>
      <c r="O234" s="19"/>
      <c r="P234" s="1561">
        <f>'TEST_pour PROTOTYPE'!D207</f>
        <v>7</v>
      </c>
      <c r="Q234" s="24">
        <f>P234*D234</f>
        <v>21</v>
      </c>
      <c r="R234" s="8">
        <f>IF(BIBLE!K135=0,"",BIBLE!K135)</f>
        <v>4</v>
      </c>
      <c r="S234" s="273"/>
      <c r="T234" s="273"/>
      <c r="U234" s="273"/>
      <c r="V234" s="6">
        <f>MAX(AS234:AS236)</f>
        <v>21</v>
      </c>
      <c r="W234" s="8"/>
      <c r="X234" s="6">
        <f t="shared" ref="X234:AC234" si="86">MAX(AU234:AU236)</f>
        <v>0</v>
      </c>
      <c r="Y234" s="6">
        <f t="shared" si="86"/>
        <v>3</v>
      </c>
      <c r="Z234" s="6">
        <f t="shared" si="86"/>
        <v>6</v>
      </c>
      <c r="AA234" s="6">
        <f t="shared" si="86"/>
        <v>12</v>
      </c>
      <c r="AB234" s="6">
        <f t="shared" si="86"/>
        <v>21</v>
      </c>
      <c r="AC234" s="6">
        <f t="shared" si="86"/>
        <v>30</v>
      </c>
      <c r="AE234" s="477"/>
      <c r="AF234" s="38"/>
      <c r="AG234" s="38"/>
      <c r="AH234" s="69">
        <f>IF($Q234=$V234,$Q234*BIBLE!S136,IF(Test_Bible!$Q235=Test_Bible!$V234,Test_Bible!$Q235*BIBLE!S137,Test_Bible!$Q236*BIBLE!S138))</f>
        <v>10.5</v>
      </c>
      <c r="AI234" s="69">
        <f>IF($Q234=$V234,$Q234*BIBLE!T136,IF(Test_Bible!$Q235=Test_Bible!$V234,Test_Bible!$Q235*BIBLE!T137,Test_Bible!$Q236*BIBLE!T138))</f>
        <v>10.5</v>
      </c>
      <c r="AJ234" s="69">
        <f>IF($Q234=$V234,$Q234*BIBLE!U136,IF(Test_Bible!$Q235=Test_Bible!$V234,Test_Bible!$Q235*BIBLE!U137,Test_Bible!$Q236*BIBLE!U138))</f>
        <v>0</v>
      </c>
      <c r="AK234" s="683">
        <f>IF($Q234=$V234,$Q234*BIBLE!W136,IF(Test_Bible!$Q235=Test_Bible!$V234,Test_Bible!$Q235*BIBLE!W137,Test_Bible!$Q236*BIBLE!W138))</f>
        <v>0</v>
      </c>
      <c r="AL234" s="683">
        <f>IF($Q234=$V234,$Q234*BIBLE!X136,IF(Test_Bible!$Q235=Test_Bible!$V234,Test_Bible!$Q235*BIBLE!X137,Test_Bible!$Q236*BIBLE!X138))</f>
        <v>0</v>
      </c>
      <c r="AM234" s="683">
        <f>IF($Q234=$V234,$Q234*BIBLE!Y136,IF(Test_Bible!$Q235=Test_Bible!$V234,Test_Bible!$Q235*BIBLE!Y137,Test_Bible!$Q236*BIBLE!Y138))</f>
        <v>0</v>
      </c>
      <c r="AN234" s="683">
        <f>IF($Q234=$V234,$Q234*BIBLE!Z136,IF(Test_Bible!$Q235=Test_Bible!$V234,Test_Bible!$Q235*BIBLE!Z137,Test_Bible!$Q236*BIBLE!Z138))</f>
        <v>0</v>
      </c>
      <c r="AO234" s="683">
        <f>IF($Q234=$V234,$Q234*BIBLE!AA136,IF(Test_Bible!$Q235=Test_Bible!$V234,Test_Bible!$Q235*BIBLE!AA137,Test_Bible!$Q236*BIBLE!AA138))</f>
        <v>0</v>
      </c>
      <c r="AP234" s="683">
        <f>IF($Q234=$V234,$Q234*BIBLE!AB136,IF(Test_Bible!$Q235=Test_Bible!$V234,Test_Bible!$Q235*BIBLE!AB137,Test_Bible!$Q236*BIBLE!AB138))</f>
        <v>21</v>
      </c>
      <c r="AQ234" s="683">
        <f>IF($Q234=$V234,$Q234*BIBLE!AC136,IF(Test_Bible!$Q235=Test_Bible!$V234,Test_Bible!$Q235*BIBLE!AC137,Test_Bible!$Q236*BIBLE!AC138))</f>
        <v>0</v>
      </c>
      <c r="AR234" s="683">
        <f>IF($Q234=$V234,$Q234*BIBLE!AD136,IF(Test_Bible!$Q235=Test_Bible!$V234,Test_Bible!$Q235*BIBLE!AD137,Test_Bible!$Q236*BIBLE!AD138))</f>
        <v>0</v>
      </c>
      <c r="AS234" s="6">
        <f>Q234</f>
        <v>21</v>
      </c>
      <c r="AT234" s="273"/>
      <c r="AU234" s="6">
        <f t="shared" ref="AU234:AZ236" si="87">IF($Q234&gt;0,X$109*$D234,0)</f>
        <v>0</v>
      </c>
      <c r="AV234" s="6">
        <f t="shared" si="87"/>
        <v>3</v>
      </c>
      <c r="AW234" s="6">
        <f t="shared" si="87"/>
        <v>6</v>
      </c>
      <c r="AX234" s="6">
        <f t="shared" si="87"/>
        <v>12</v>
      </c>
      <c r="AY234" s="6">
        <f t="shared" si="87"/>
        <v>21</v>
      </c>
      <c r="AZ234" s="6">
        <f t="shared" si="87"/>
        <v>30</v>
      </c>
    </row>
    <row r="235" spans="1:54" s="7" customFormat="1" ht="79" customHeight="1" x14ac:dyDescent="0.2">
      <c r="A235" s="1198" t="str">
        <f>BIBLE!E136</f>
        <v>PFA30a</v>
      </c>
      <c r="B235" s="134" t="str">
        <f>IF(P234&gt;=R234,BIBLE!F136,"")</f>
        <v>L’autre parent cherche à vous exclure de la vie de votre enfant.</v>
      </c>
      <c r="C235" s="463" t="str">
        <f>BIBLE!O136</f>
        <v>Nulle / Très faible / Faible / Moyenne / Élevée / Très élevée / S.O.</v>
      </c>
      <c r="D235" s="1290">
        <f>BIBLE!L136</f>
        <v>3</v>
      </c>
      <c r="E235" s="19"/>
      <c r="F235" s="19"/>
      <c r="G235" s="19"/>
      <c r="H235" s="19"/>
      <c r="I235" s="19"/>
      <c r="J235" s="19">
        <v>1</v>
      </c>
      <c r="K235" s="19"/>
      <c r="L235" s="19"/>
      <c r="M235" s="19"/>
      <c r="N235" s="19"/>
      <c r="O235" s="19"/>
      <c r="P235" s="1561">
        <f>'TEST_pour PROTOTYPE'!D208</f>
        <v>7</v>
      </c>
      <c r="Q235" s="24">
        <f>P235*D235</f>
        <v>21</v>
      </c>
      <c r="R235" s="8">
        <f>IF(BIBLE!K136=0,"",BIBLE!K136)</f>
        <v>4</v>
      </c>
      <c r="S235" s="273"/>
      <c r="T235" s="273"/>
      <c r="U235" s="273"/>
      <c r="V235" s="8"/>
      <c r="AE235" s="477"/>
      <c r="AF235" s="38"/>
      <c r="AG235" s="38"/>
      <c r="AH235" s="69"/>
      <c r="AI235" s="69"/>
      <c r="AJ235" s="69"/>
      <c r="AK235" s="683"/>
      <c r="AL235" s="683"/>
      <c r="AM235" s="683"/>
      <c r="AN235" s="683"/>
      <c r="AO235" s="683"/>
      <c r="AP235" s="683"/>
      <c r="AQ235" s="683"/>
      <c r="AR235" s="683"/>
      <c r="AS235" s="6">
        <f>Q235</f>
        <v>21</v>
      </c>
      <c r="AT235" s="273"/>
      <c r="AU235" s="6">
        <f t="shared" si="87"/>
        <v>0</v>
      </c>
      <c r="AV235" s="6">
        <f t="shared" si="87"/>
        <v>3</v>
      </c>
      <c r="AW235" s="6">
        <f t="shared" si="87"/>
        <v>6</v>
      </c>
      <c r="AX235" s="6">
        <f t="shared" si="87"/>
        <v>12</v>
      </c>
      <c r="AY235" s="6">
        <f t="shared" si="87"/>
        <v>21</v>
      </c>
      <c r="AZ235" s="6">
        <f t="shared" si="87"/>
        <v>30</v>
      </c>
      <c r="BB235" s="17" t="s">
        <v>447</v>
      </c>
    </row>
    <row r="236" spans="1:54" s="7" customFormat="1" ht="79" customHeight="1" x14ac:dyDescent="0.2">
      <c r="A236" s="1198" t="str">
        <f>BIBLE!E137</f>
        <v>PFA30a1</v>
      </c>
      <c r="B236" s="1213" t="str">
        <f>IF(AND(P235&gt;=R235,$P$181=0,$P$188=0),BIBLE!F137,"")</f>
        <v/>
      </c>
      <c r="C236" s="463" t="str">
        <f>BIBLE!O137</f>
        <v xml:space="preserve">Jamais / Rarement / Occasionnellement / Régulièrement / Souvent / Toujours / S.O. </v>
      </c>
      <c r="D236" s="1290">
        <f>BIBLE!L137</f>
        <v>3</v>
      </c>
      <c r="E236" s="19"/>
      <c r="F236" s="19"/>
      <c r="G236" s="19"/>
      <c r="H236" s="19"/>
      <c r="I236" s="19"/>
      <c r="J236" s="19"/>
      <c r="K236" s="19"/>
      <c r="L236" s="19"/>
      <c r="M236" s="19"/>
      <c r="N236" s="19"/>
      <c r="O236" s="19"/>
      <c r="P236" s="1561">
        <f>'TEST_pour PROTOTYPE'!D209</f>
        <v>0</v>
      </c>
      <c r="Q236" s="24">
        <f>P236*D236</f>
        <v>0</v>
      </c>
      <c r="R236" s="8" t="str">
        <f>IF(BIBLE!K137=0,"",BIBLE!K137)</f>
        <v/>
      </c>
      <c r="S236" s="273"/>
      <c r="T236" s="273"/>
      <c r="U236" s="273"/>
      <c r="V236" s="8"/>
      <c r="AE236" s="449">
        <f>Q236</f>
        <v>0</v>
      </c>
      <c r="AF236" s="1713"/>
      <c r="AG236" s="1713"/>
      <c r="AH236" s="24"/>
      <c r="AI236" s="24"/>
      <c r="AJ236" s="24"/>
      <c r="AK236" s="1238"/>
      <c r="AL236" s="1238"/>
      <c r="AM236" s="1238"/>
      <c r="AN236" s="1238"/>
      <c r="AO236" s="1238"/>
      <c r="AP236" s="1238"/>
      <c r="AQ236" s="1238"/>
      <c r="AR236" s="1238"/>
      <c r="AS236" s="6">
        <f>Q236</f>
        <v>0</v>
      </c>
      <c r="AT236" s="273"/>
      <c r="AU236" s="6">
        <f t="shared" si="87"/>
        <v>0</v>
      </c>
      <c r="AV236" s="6">
        <f t="shared" si="87"/>
        <v>0</v>
      </c>
      <c r="AW236" s="6">
        <f t="shared" si="87"/>
        <v>0</v>
      </c>
      <c r="AX236" s="6">
        <f t="shared" si="87"/>
        <v>0</v>
      </c>
      <c r="AY236" s="6">
        <f t="shared" si="87"/>
        <v>0</v>
      </c>
      <c r="AZ236" s="6">
        <f t="shared" si="87"/>
        <v>0</v>
      </c>
    </row>
    <row r="237" spans="1:54" s="7" customFormat="1" ht="55.5" customHeight="1" x14ac:dyDescent="0.2">
      <c r="A237" s="1198" t="str">
        <f>BIBLE!E138</f>
        <v>PFA30a2</v>
      </c>
      <c r="B237" s="134" t="str">
        <f>IF(P235&gt;=R235,BIBLE!F138,"")</f>
        <v>Quels sont les comportements ou attitudes qui vous laissent croire que l'autre parent cherche à vous exclure de la vie de votre enfant ?</v>
      </c>
      <c r="C237" s="22"/>
      <c r="D237" s="1290"/>
      <c r="E237" s="8"/>
      <c r="F237" s="19"/>
      <c r="G237" s="19"/>
      <c r="H237" s="19"/>
      <c r="I237" s="19"/>
      <c r="J237" s="19"/>
      <c r="K237" s="19"/>
      <c r="L237" s="19"/>
      <c r="M237" s="19"/>
      <c r="N237" s="19"/>
      <c r="O237" s="1563" t="s">
        <v>1294</v>
      </c>
      <c r="P237" s="24">
        <f>SUM(P238:P241)</f>
        <v>20</v>
      </c>
      <c r="Q237" s="24"/>
      <c r="R237" s="8" t="str">
        <f>IF(BIBLE!K138=0,"",BIBLE!K138)</f>
        <v/>
      </c>
      <c r="S237" s="273"/>
      <c r="T237" s="273"/>
      <c r="U237" s="273"/>
      <c r="V237" s="6"/>
      <c r="W237" s="273"/>
      <c r="X237" s="8"/>
      <c r="Y237" s="8"/>
      <c r="Z237" s="8"/>
      <c r="AA237" s="8"/>
      <c r="AB237" s="8"/>
      <c r="AC237" s="8"/>
      <c r="AE237" s="477"/>
      <c r="AF237" s="38"/>
      <c r="AG237" s="38"/>
      <c r="AH237" s="69"/>
      <c r="AI237" s="69"/>
      <c r="AJ237" s="69"/>
      <c r="AK237" s="683"/>
      <c r="AL237" s="683"/>
      <c r="AM237" s="683"/>
      <c r="AN237" s="683"/>
      <c r="AO237" s="683"/>
      <c r="AP237" s="683"/>
      <c r="AQ237" s="683"/>
      <c r="AR237" s="683"/>
    </row>
    <row r="238" spans="1:54" s="7" customFormat="1" ht="46" customHeight="1" x14ac:dyDescent="0.2">
      <c r="A238" s="1198"/>
      <c r="B238" s="137" t="str">
        <f>IF(P235&gt;=R235,"Changement d'école ou d'équipe sportive (rupture d'environnement de l'enfant, problème de transport","")</f>
        <v>Changement d'école ou d'équipe sportive (rupture d'environnement de l'enfant, problème de transport</v>
      </c>
      <c r="C238" s="22"/>
      <c r="D238" s="1459">
        <v>10</v>
      </c>
      <c r="E238" s="1477">
        <f>'TEST_pour PROTOTYPE'!D210</f>
        <v>1</v>
      </c>
      <c r="F238" s="19"/>
      <c r="G238" s="19"/>
      <c r="H238" s="19"/>
      <c r="I238" s="19"/>
      <c r="J238" s="19"/>
      <c r="K238" s="19"/>
      <c r="L238" s="19"/>
      <c r="M238" s="19"/>
      <c r="N238" s="19"/>
      <c r="O238" s="19"/>
      <c r="P238" s="1473">
        <f>D238*E238</f>
        <v>10</v>
      </c>
      <c r="Q238" s="24"/>
      <c r="R238" s="8"/>
      <c r="S238" s="273"/>
      <c r="T238" s="273"/>
      <c r="U238" s="273"/>
      <c r="V238" s="6"/>
      <c r="W238" s="273"/>
      <c r="X238" s="8"/>
      <c r="Y238" s="8"/>
      <c r="Z238" s="8"/>
      <c r="AA238" s="8"/>
      <c r="AB238" s="8"/>
      <c r="AC238" s="8"/>
      <c r="AE238" s="477"/>
      <c r="AF238" s="38"/>
      <c r="AG238" s="38"/>
      <c r="AH238" s="69"/>
      <c r="AI238" s="69"/>
      <c r="AJ238" s="69"/>
      <c r="AK238" s="683"/>
      <c r="AL238" s="683"/>
      <c r="AM238" s="683"/>
      <c r="AN238" s="683"/>
      <c r="AO238" s="683"/>
      <c r="AP238" s="683"/>
      <c r="AQ238" s="683"/>
      <c r="AR238" s="683"/>
    </row>
    <row r="239" spans="1:54" s="7" customFormat="1" ht="32" customHeight="1" x14ac:dyDescent="0.2">
      <c r="A239" s="1198"/>
      <c r="B239" s="137" t="str">
        <f>IF(P235&gt;=R235,"Changement de nom","")</f>
        <v>Changement de nom</v>
      </c>
      <c r="C239" s="22"/>
      <c r="D239" s="1459">
        <v>10</v>
      </c>
      <c r="E239" s="1477">
        <f>'TEST_pour PROTOTYPE'!D211</f>
        <v>0</v>
      </c>
      <c r="F239" s="19"/>
      <c r="G239" s="19"/>
      <c r="H239" s="19"/>
      <c r="I239" s="19"/>
      <c r="J239" s="19"/>
      <c r="K239" s="19"/>
      <c r="L239" s="19"/>
      <c r="M239" s="19"/>
      <c r="N239" s="19"/>
      <c r="O239" s="19"/>
      <c r="P239" s="1473">
        <f t="shared" ref="P239:P241" si="88">D239*E239</f>
        <v>0</v>
      </c>
      <c r="Q239" s="24"/>
      <c r="R239" s="8"/>
      <c r="S239" s="273"/>
      <c r="T239" s="273"/>
      <c r="U239" s="273"/>
      <c r="V239" s="6"/>
      <c r="W239" s="273"/>
      <c r="X239" s="8"/>
      <c r="Y239" s="8"/>
      <c r="Z239" s="8"/>
      <c r="AA239" s="8"/>
      <c r="AB239" s="8"/>
      <c r="AC239" s="8"/>
      <c r="AE239" s="477"/>
      <c r="AF239" s="38"/>
      <c r="AG239" s="38"/>
      <c r="AH239" s="69"/>
      <c r="AI239" s="69"/>
      <c r="AJ239" s="69"/>
      <c r="AK239" s="683"/>
      <c r="AL239" s="683"/>
      <c r="AM239" s="683"/>
      <c r="AN239" s="683"/>
      <c r="AO239" s="683"/>
      <c r="AP239" s="683"/>
      <c r="AQ239" s="683"/>
      <c r="AR239" s="683"/>
    </row>
    <row r="240" spans="1:54" s="7" customFormat="1" ht="42" customHeight="1" x14ac:dyDescent="0.2">
      <c r="A240" s="1198"/>
      <c r="B240" s="137" t="str">
        <f>IF(P235&gt;=R235,"Éloignement physique (ex.: déménagement causant un changement d’école, perte d’amis, etc.)","")</f>
        <v>Éloignement physique (ex.: déménagement causant un changement d’école, perte d’amis, etc.)</v>
      </c>
      <c r="C240" s="22"/>
      <c r="D240" s="1459">
        <v>10</v>
      </c>
      <c r="E240" s="1477">
        <f>'TEST_pour PROTOTYPE'!D212</f>
        <v>1</v>
      </c>
      <c r="F240" s="19"/>
      <c r="G240" s="19"/>
      <c r="H240" s="19"/>
      <c r="I240" s="19"/>
      <c r="J240" s="19"/>
      <c r="K240" s="19"/>
      <c r="L240" s="19"/>
      <c r="M240" s="19"/>
      <c r="N240" s="19"/>
      <c r="O240" s="19"/>
      <c r="P240" s="1473">
        <f t="shared" si="88"/>
        <v>10</v>
      </c>
      <c r="Q240" s="24"/>
      <c r="R240" s="8"/>
      <c r="S240" s="273"/>
      <c r="T240" s="273"/>
      <c r="U240" s="273"/>
      <c r="V240" s="6"/>
      <c r="W240" s="273"/>
      <c r="X240" s="8"/>
      <c r="Y240" s="8"/>
      <c r="Z240" s="8"/>
      <c r="AA240" s="8"/>
      <c r="AB240" s="8"/>
      <c r="AC240" s="8"/>
      <c r="AE240" s="477"/>
      <c r="AF240" s="38"/>
      <c r="AG240" s="38"/>
      <c r="AH240" s="69"/>
      <c r="AI240" s="69"/>
      <c r="AJ240" s="69"/>
      <c r="AK240" s="683"/>
      <c r="AL240" s="683"/>
      <c r="AM240" s="683"/>
      <c r="AN240" s="683"/>
      <c r="AO240" s="683"/>
      <c r="AP240" s="683"/>
      <c r="AQ240" s="683"/>
      <c r="AR240" s="683"/>
    </row>
    <row r="241" spans="1:54" s="7" customFormat="1" ht="47" customHeight="1" x14ac:dyDescent="0.2">
      <c r="A241" s="1198"/>
      <c r="B241" s="137" t="str">
        <f>IF(P235&gt;=R235,"Manœuvre pour vous isoler de l’entourage de votre enfant (cercle d'influence inaccessible : professeur, entraîneur, parents des amis, etc.)","")</f>
        <v>Manœuvre pour vous isoler de l’entourage de votre enfant (cercle d'influence inaccessible : professeur, entraîneur, parents des amis, etc.)</v>
      </c>
      <c r="C241" s="22"/>
      <c r="D241" s="1459">
        <v>10</v>
      </c>
      <c r="E241" s="1477">
        <f>'TEST_pour PROTOTYPE'!D213</f>
        <v>0</v>
      </c>
      <c r="F241" s="19"/>
      <c r="G241" s="19"/>
      <c r="H241" s="19"/>
      <c r="I241" s="19"/>
      <c r="J241" s="19"/>
      <c r="K241" s="19"/>
      <c r="L241" s="19"/>
      <c r="M241" s="19"/>
      <c r="N241" s="19"/>
      <c r="O241" s="19"/>
      <c r="P241" s="1473">
        <f t="shared" si="88"/>
        <v>0</v>
      </c>
      <c r="Q241" s="24"/>
      <c r="R241" s="8"/>
      <c r="S241" s="273"/>
      <c r="T241" s="273"/>
      <c r="U241" s="273"/>
      <c r="V241" s="6"/>
      <c r="W241" s="273"/>
      <c r="X241" s="8"/>
      <c r="Y241" s="8"/>
      <c r="Z241" s="8"/>
      <c r="AA241" s="8"/>
      <c r="AB241" s="8"/>
      <c r="AC241" s="8"/>
      <c r="AE241" s="477"/>
      <c r="AF241" s="38"/>
      <c r="AG241" s="38"/>
      <c r="AH241" s="69"/>
      <c r="AI241" s="69"/>
      <c r="AJ241" s="69"/>
      <c r="AK241" s="683"/>
      <c r="AL241" s="683"/>
      <c r="AM241" s="683"/>
      <c r="AN241" s="683"/>
      <c r="AO241" s="683"/>
      <c r="AP241" s="683"/>
      <c r="AQ241" s="683"/>
      <c r="AR241" s="683"/>
    </row>
    <row r="242" spans="1:54" s="7" customFormat="1" ht="38" customHeight="1" x14ac:dyDescent="0.2">
      <c r="A242" s="1198"/>
      <c r="B242" s="137" t="str">
        <f>IF(P235&gt;=R235,"Autre (spécifiez)","")</f>
        <v>Autre (spécifiez)</v>
      </c>
      <c r="C242" s="22"/>
      <c r="D242" s="1459" t="s">
        <v>1169</v>
      </c>
      <c r="E242" s="19"/>
      <c r="F242" s="19"/>
      <c r="G242" s="19"/>
      <c r="H242" s="19"/>
      <c r="I242" s="19"/>
      <c r="J242" s="19"/>
      <c r="K242" s="19"/>
      <c r="L242" s="19"/>
      <c r="M242" s="19"/>
      <c r="N242" s="19"/>
      <c r="O242" s="19"/>
      <c r="P242" s="1473"/>
      <c r="Q242" s="24"/>
      <c r="R242" s="8"/>
      <c r="S242" s="273"/>
      <c r="T242" s="273"/>
      <c r="U242" s="273"/>
      <c r="V242" s="6"/>
      <c r="W242" s="273"/>
      <c r="X242" s="8"/>
      <c r="Y242" s="8"/>
      <c r="Z242" s="8"/>
      <c r="AA242" s="8"/>
      <c r="AB242" s="8"/>
      <c r="AC242" s="8"/>
      <c r="AE242" s="477"/>
      <c r="AF242" s="38"/>
      <c r="AG242" s="38"/>
      <c r="AH242" s="69"/>
      <c r="AI242" s="69"/>
      <c r="AJ242" s="69"/>
      <c r="AK242" s="683"/>
      <c r="AL242" s="683"/>
      <c r="AM242" s="683"/>
      <c r="AN242" s="683"/>
      <c r="AO242" s="683"/>
      <c r="AP242" s="683"/>
      <c r="AQ242" s="683"/>
      <c r="AR242" s="683"/>
    </row>
    <row r="243" spans="1:54" s="7" customFormat="1" ht="75" customHeight="1" x14ac:dyDescent="0.2">
      <c r="A243" s="1198" t="str">
        <f>BIBLE!E139</f>
        <v>PFA31</v>
      </c>
      <c r="B243" s="468" t="str">
        <f>BIBLE!F139</f>
        <v xml:space="preserve">Dans quelle mesure diriez-vous que l'autre parent accepte ou vit bien avec la séparation (de couple ou familiale) ? </v>
      </c>
      <c r="C243" s="1333" t="str">
        <f>BIBLE!O139</f>
        <v>Totalement / Grandement / Moyennement / Un peu / Très peu / Pas du tout / S.O.</v>
      </c>
      <c r="D243" s="1657">
        <f>IF(P243&lt;=2,BIBLE!M139,BIBLE!L139)</f>
        <v>1</v>
      </c>
      <c r="E243" s="19">
        <v>1</v>
      </c>
      <c r="F243" s="19"/>
      <c r="G243" s="19"/>
      <c r="H243" s="19"/>
      <c r="I243" s="19"/>
      <c r="J243" s="19"/>
      <c r="K243" s="19"/>
      <c r="L243" s="19"/>
      <c r="M243" s="19"/>
      <c r="N243" s="19"/>
      <c r="O243" s="19"/>
      <c r="P243" s="1561">
        <f>'TEST_pour PROTOTYPE'!D214</f>
        <v>4</v>
      </c>
      <c r="Q243" s="23">
        <f t="shared" ref="Q243:Q249" si="89">P243*D243</f>
        <v>4</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477"/>
      <c r="AF243" s="38"/>
      <c r="AG243" s="38"/>
      <c r="AH243" s="69">
        <f>IF($Q243=$V243,$Q243*BIBLE!S139,IF(Test_Bible!$Q244=Test_Bible!$V243,Test_Bible!$Q244*BIBLE!S140,Test_Bible!$Q245*BIBLE!S141))</f>
        <v>0</v>
      </c>
      <c r="AI243" s="69">
        <f>IF($Q243=$V243,$Q243*BIBLE!T139,IF(Test_Bible!$Q244=Test_Bible!$V243,Test_Bible!$Q244*BIBLE!T140,Test_Bible!$Q245*BIBLE!T141))</f>
        <v>8</v>
      </c>
      <c r="AJ243" s="69">
        <f>IF($Q243=$V243,$Q243*BIBLE!U139,IF(Test_Bible!$Q244=Test_Bible!$V243,Test_Bible!$Q244*BIBLE!U140,Test_Bible!$Q245*BIBLE!U141))</f>
        <v>0</v>
      </c>
      <c r="AK243" s="1236">
        <f>IF($Q243=$V243,$Q243*BIBLE!W139,IF(Test_Bible!$Q244=Test_Bible!$V243,Test_Bible!$Q244*BIBLE!W140,Test_Bible!$Q245*BIBLE!W141))</f>
        <v>0</v>
      </c>
      <c r="AL243" s="1236">
        <f>IF($Q243=$V243,$Q243*BIBLE!X139,IF(Test_Bible!$Q244=Test_Bible!$V243,Test_Bible!$Q244*BIBLE!X140,Test_Bible!$Q245*BIBLE!X141))</f>
        <v>0</v>
      </c>
      <c r="AM243" s="1236">
        <f>IF($Q243=$V243,$Q243*BIBLE!Y139,IF(Test_Bible!$Q244=Test_Bible!$V243,Test_Bible!$Q244*BIBLE!Y140,Test_Bible!$Q245*BIBLE!Y141))</f>
        <v>0</v>
      </c>
      <c r="AN243" s="1236">
        <f>IF($Q243=$V243,$Q243*BIBLE!Z139,IF(Test_Bible!$Q244=Test_Bible!$V243,Test_Bible!$Q244*BIBLE!Z140,Test_Bible!$Q245*BIBLE!Z141))</f>
        <v>0</v>
      </c>
      <c r="AO243" s="1236">
        <f>IF($Q243=$V243,$Q243*BIBLE!AA139,IF(Test_Bible!$Q244=Test_Bible!$V243,Test_Bible!$Q244*BIBLE!AA140,Test_Bible!$Q245*BIBLE!AA141))</f>
        <v>0</v>
      </c>
      <c r="AP243" s="1236">
        <f>IF($Q243=$V243,$Q243*BIBLE!AB139,IF(Test_Bible!$Q244=Test_Bible!$V243,Test_Bible!$Q244*BIBLE!AB140,Test_Bible!$Q245*BIBLE!AB141))</f>
        <v>0</v>
      </c>
      <c r="AQ243" s="1236">
        <f>IF($Q243=$V243,$Q243*BIBLE!AC139,IF(Test_Bible!$Q244=Test_Bible!$V243,Test_Bible!$Q244*BIBLE!AC140,Test_Bible!$Q245*BIBLE!AC141))</f>
        <v>8</v>
      </c>
      <c r="AR243" s="1236">
        <f>IF($Q243=$V243,$Q243*BIBLE!AD139,IF(Test_Bible!$Q244=Test_Bible!$V243,Test_Bible!$Q244*BIBLE!AD140,Test_Bible!$Q245*BIBLE!AD141))</f>
        <v>0</v>
      </c>
      <c r="AS243" s="6">
        <f>Q243</f>
        <v>4</v>
      </c>
      <c r="AT243" s="273"/>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x14ac:dyDescent="0.2">
      <c r="A244" s="1198" t="str">
        <f>BIBLE!E140</f>
        <v>PFA31a</v>
      </c>
      <c r="B244" s="284" t="str">
        <f>IF(P243&gt;=R243,BIBLE!F140,"")</f>
        <v>L’autre parent confie à votre enfant sa peine concernant la séparation.</v>
      </c>
      <c r="C244" s="1333" t="str">
        <f>BIBLE!O140</f>
        <v>Nulle / Très faible / Faible / Moyenne / Élevée / Très élevée / S.O.</v>
      </c>
      <c r="D244" s="1290">
        <f>BIBLE!L140</f>
        <v>2</v>
      </c>
      <c r="E244" s="19"/>
      <c r="F244" s="19"/>
      <c r="G244" s="19"/>
      <c r="H244" s="19"/>
      <c r="I244" s="19"/>
      <c r="J244" s="19"/>
      <c r="K244" s="19"/>
      <c r="L244" s="19"/>
      <c r="M244" s="19"/>
      <c r="N244" s="19"/>
      <c r="O244" s="19"/>
      <c r="P244" s="1561">
        <f>'TEST_pour PROTOTYPE'!D215</f>
        <v>4</v>
      </c>
      <c r="Q244" s="23">
        <f t="shared" si="89"/>
        <v>8</v>
      </c>
      <c r="R244" s="8">
        <f>IF(BIBLE!K140=0,"",BIBLE!K140)</f>
        <v>4</v>
      </c>
      <c r="S244" s="8"/>
      <c r="T244" s="8"/>
      <c r="U244" s="8"/>
      <c r="V244" s="8"/>
      <c r="W244" s="8"/>
      <c r="X244" s="8"/>
      <c r="Y244" s="8"/>
      <c r="Z244" s="8"/>
      <c r="AA244" s="8"/>
      <c r="AB244" s="8"/>
      <c r="AC244" s="8"/>
      <c r="AD244" s="8"/>
      <c r="AE244" s="477"/>
      <c r="AF244" s="38"/>
      <c r="AG244" s="38"/>
      <c r="AH244" s="69"/>
      <c r="AI244" s="69"/>
      <c r="AJ244" s="69"/>
      <c r="AK244" s="683"/>
      <c r="AL244" s="683"/>
      <c r="AM244" s="683"/>
      <c r="AN244" s="683"/>
      <c r="AO244" s="683"/>
      <c r="AP244" s="683"/>
      <c r="AQ244" s="683"/>
      <c r="AR244" s="683"/>
      <c r="AS244" s="6">
        <f>Q244</f>
        <v>8</v>
      </c>
      <c r="AT244" s="273"/>
      <c r="AU244" s="6">
        <f t="shared" si="91"/>
        <v>0</v>
      </c>
      <c r="AV244" s="6">
        <f t="shared" si="91"/>
        <v>2</v>
      </c>
      <c r="AW244" s="6">
        <f t="shared" si="91"/>
        <v>4</v>
      </c>
      <c r="AX244" s="6">
        <f t="shared" si="91"/>
        <v>8</v>
      </c>
      <c r="AY244" s="6">
        <f t="shared" si="91"/>
        <v>14</v>
      </c>
      <c r="AZ244" s="6">
        <f t="shared" si="91"/>
        <v>20</v>
      </c>
      <c r="BB244" s="17" t="s">
        <v>447</v>
      </c>
    </row>
    <row r="245" spans="1:54" s="7" customFormat="1" ht="75" customHeight="1" x14ac:dyDescent="0.2">
      <c r="A245" s="1198" t="str">
        <f>BIBLE!E141</f>
        <v>PFA31a1</v>
      </c>
      <c r="B245" s="284" t="str">
        <f>IF(P244&gt;=R244,BIBLE!F141,"")</f>
        <v>Dans quelle mesure diriez-vous que l'autre parent se confie à votre enfant sur des sujets qui vous sont personnels ou qui concernent votre passé (intime) ?</v>
      </c>
      <c r="C245" s="1333" t="str">
        <f>BIBLE!O141</f>
        <v xml:space="preserve">Jamais / Rarement / Occasionnellement / Régulièrement / Souvent / Toujours / S.O. </v>
      </c>
      <c r="D245" s="1290">
        <f>BIBLE!L141</f>
        <v>2</v>
      </c>
      <c r="E245" s="19"/>
      <c r="F245" s="19"/>
      <c r="G245" s="19"/>
      <c r="H245" s="19"/>
      <c r="I245" s="19"/>
      <c r="J245" s="19"/>
      <c r="K245" s="19"/>
      <c r="L245" s="19"/>
      <c r="M245" s="19"/>
      <c r="N245" s="19"/>
      <c r="O245" s="19"/>
      <c r="P245" s="1561">
        <f>'TEST_pour PROTOTYPE'!D216</f>
        <v>4</v>
      </c>
      <c r="Q245" s="23">
        <f t="shared" si="89"/>
        <v>8</v>
      </c>
      <c r="R245" s="8" t="str">
        <f>IF(BIBLE!K141=0,"",BIBLE!K141)</f>
        <v/>
      </c>
      <c r="S245" s="8"/>
      <c r="T245" s="8"/>
      <c r="U245" s="8"/>
      <c r="V245" s="8"/>
      <c r="W245" s="8"/>
      <c r="X245" s="8"/>
      <c r="Y245" s="8"/>
      <c r="Z245" s="8"/>
      <c r="AA245" s="8"/>
      <c r="AB245" s="8"/>
      <c r="AC245" s="8"/>
      <c r="AD245" s="8"/>
      <c r="AE245" s="477"/>
      <c r="AF245" s="38"/>
      <c r="AG245" s="38"/>
      <c r="AH245" s="69"/>
      <c r="AI245" s="69"/>
      <c r="AJ245" s="69"/>
      <c r="AK245" s="683"/>
      <c r="AL245" s="683"/>
      <c r="AM245" s="683"/>
      <c r="AN245" s="683"/>
      <c r="AO245" s="683"/>
      <c r="AP245" s="683"/>
      <c r="AQ245" s="683"/>
      <c r="AR245" s="683"/>
      <c r="AS245" s="6">
        <f>Q245</f>
        <v>8</v>
      </c>
      <c r="AT245" s="273"/>
      <c r="AU245" s="6">
        <f t="shared" si="91"/>
        <v>0</v>
      </c>
      <c r="AV245" s="6">
        <f t="shared" si="91"/>
        <v>2</v>
      </c>
      <c r="AW245" s="6">
        <f t="shared" si="91"/>
        <v>4</v>
      </c>
      <c r="AX245" s="6">
        <f t="shared" si="91"/>
        <v>8</v>
      </c>
      <c r="AY245" s="6">
        <f t="shared" si="91"/>
        <v>14</v>
      </c>
      <c r="AZ245" s="6">
        <f t="shared" si="91"/>
        <v>20</v>
      </c>
    </row>
    <row r="246" spans="1:54" s="7" customFormat="1" ht="75" customHeight="1" x14ac:dyDescent="0.2">
      <c r="A246" s="1198" t="str">
        <f>BIBLE!E142</f>
        <v>PFA32</v>
      </c>
      <c r="B246" s="133" t="str">
        <f>BIBLE!F142</f>
        <v>L'autre parent fait lire vos échanges et communications (courriels, textos, etc.) à votre enfant.</v>
      </c>
      <c r="C246" s="463" t="str">
        <f>BIBLE!O142</f>
        <v>Nulle / Très faible / Faible / Moyenne / Élevée / Très élevée / S.O.</v>
      </c>
      <c r="D246" s="1657">
        <f>IF($E$40&gt;=12,BIBLE!L142,BIBLE!M142)</f>
        <v>3</v>
      </c>
      <c r="E246" s="19"/>
      <c r="F246" s="19"/>
      <c r="G246" s="19"/>
      <c r="H246" s="19"/>
      <c r="I246" s="19"/>
      <c r="J246" s="19"/>
      <c r="K246" s="19">
        <v>1</v>
      </c>
      <c r="L246" s="19"/>
      <c r="M246" s="19"/>
      <c r="N246" s="19"/>
      <c r="O246" s="19"/>
      <c r="P246" s="1561">
        <f>'TEST_pour PROTOTYPE'!D217</f>
        <v>4</v>
      </c>
      <c r="Q246" s="24">
        <f t="shared" si="89"/>
        <v>12</v>
      </c>
      <c r="R246" s="8" t="str">
        <f>IF(BIBLE!K142=0,"",BIBLE!K142)</f>
        <v/>
      </c>
      <c r="S246" s="273"/>
      <c r="T246" s="273"/>
      <c r="U246" s="273"/>
      <c r="V246" s="6">
        <f>Q246</f>
        <v>12</v>
      </c>
      <c r="W246" s="273"/>
      <c r="X246" s="6">
        <f t="shared" ref="X246:AC250" si="92">IF($Q246&gt;0,X$109*$D246,0)</f>
        <v>0</v>
      </c>
      <c r="Y246" s="6">
        <f>IF($Q246&gt;0,Y$109*$D246,0)</f>
        <v>3</v>
      </c>
      <c r="Z246" s="6">
        <f t="shared" si="92"/>
        <v>6</v>
      </c>
      <c r="AA246" s="6">
        <f t="shared" si="92"/>
        <v>12</v>
      </c>
      <c r="AB246" s="6">
        <f t="shared" si="92"/>
        <v>21</v>
      </c>
      <c r="AC246" s="6">
        <f t="shared" si="92"/>
        <v>30</v>
      </c>
      <c r="AE246" s="477"/>
      <c r="AF246" s="38"/>
      <c r="AG246" s="38"/>
      <c r="AH246" s="22">
        <f>$V246*BIBLE!S142</f>
        <v>12</v>
      </c>
      <c r="AI246" s="22">
        <f>$V246*BIBLE!T142</f>
        <v>0</v>
      </c>
      <c r="AJ246" s="22">
        <f>$V246*BIBLE!U142</f>
        <v>0</v>
      </c>
      <c r="AK246" s="1236">
        <f>$V246*BIBLE!W142</f>
        <v>0</v>
      </c>
      <c r="AL246" s="1236">
        <f>$V246*BIBLE!X142</f>
        <v>0</v>
      </c>
      <c r="AM246" s="1236">
        <f>$V246*BIBLE!Y142</f>
        <v>0</v>
      </c>
      <c r="AN246" s="1236">
        <f>$V246*BIBLE!Z142</f>
        <v>0</v>
      </c>
      <c r="AO246" s="1236">
        <f>$V246*BIBLE!AA142</f>
        <v>0</v>
      </c>
      <c r="AP246" s="1236">
        <f>$V246*BIBLE!AB142</f>
        <v>0</v>
      </c>
      <c r="AQ246" s="1236">
        <f>$V246*BIBLE!AC142</f>
        <v>12</v>
      </c>
      <c r="AR246" s="1236">
        <f>$V246*BIBLE!AD142</f>
        <v>0</v>
      </c>
    </row>
    <row r="247" spans="1:54" s="7" customFormat="1" ht="75" customHeight="1" x14ac:dyDescent="0.2">
      <c r="A247" s="1198" t="str">
        <f>BIBLE!E143</f>
        <v>PFA33</v>
      </c>
      <c r="B247" s="133" t="str">
        <f>IF(P42&lt;&gt;1,BIBLE!F143,"")</f>
        <v/>
      </c>
      <c r="C247" s="463" t="str">
        <f>BIBLE!O143</f>
        <v>Nulle / Très faible / Faible / Moyenne / Élevée / Très élevée / S.O.</v>
      </c>
      <c r="D247" s="1290">
        <f>BIBLE!L143</f>
        <v>2</v>
      </c>
      <c r="E247" s="19"/>
      <c r="F247" s="19"/>
      <c r="G247" s="19"/>
      <c r="H247" s="19"/>
      <c r="I247" s="19"/>
      <c r="J247" s="19">
        <v>1</v>
      </c>
      <c r="K247" s="19"/>
      <c r="L247" s="19"/>
      <c r="M247" s="19"/>
      <c r="N247" s="19"/>
      <c r="O247" s="19"/>
      <c r="P247" s="1561">
        <f>'TEST_pour PROTOTYPE'!D218</f>
        <v>0</v>
      </c>
      <c r="Q247" s="24">
        <f t="shared" si="89"/>
        <v>0</v>
      </c>
      <c r="R247" s="8" t="str">
        <f>IF(BIBLE!K143=0,"",BIBLE!K143)</f>
        <v/>
      </c>
      <c r="S247" s="273"/>
      <c r="T247" s="273"/>
      <c r="U247" s="273"/>
      <c r="V247" s="6">
        <f>Q247</f>
        <v>0</v>
      </c>
      <c r="W247" s="273"/>
      <c r="X247" s="6">
        <f t="shared" si="92"/>
        <v>0</v>
      </c>
      <c r="Y247" s="6">
        <f t="shared" si="92"/>
        <v>0</v>
      </c>
      <c r="Z247" s="6">
        <f t="shared" si="92"/>
        <v>0</v>
      </c>
      <c r="AA247" s="6">
        <f t="shared" si="92"/>
        <v>0</v>
      </c>
      <c r="AB247" s="6">
        <f>IF($Q247&gt;0,AB$109*$D247,0)</f>
        <v>0</v>
      </c>
      <c r="AC247" s="6">
        <f t="shared" si="92"/>
        <v>0</v>
      </c>
      <c r="AE247" s="477"/>
      <c r="AF247" s="38"/>
      <c r="AG247" s="38"/>
      <c r="AH247" s="22">
        <f>$V247*BIBLE!S143</f>
        <v>0</v>
      </c>
      <c r="AI247" s="22">
        <f>$V247*BIBLE!T143</f>
        <v>0</v>
      </c>
      <c r="AJ247" s="22">
        <f>$V247*BIBLE!U143</f>
        <v>0</v>
      </c>
      <c r="AK247" s="1236">
        <f>$V247*BIBLE!W143</f>
        <v>0</v>
      </c>
      <c r="AL247" s="1236">
        <f>$V247*BIBLE!X143</f>
        <v>0</v>
      </c>
      <c r="AM247" s="1236">
        <f>$V247*BIBLE!Y143</f>
        <v>0</v>
      </c>
      <c r="AN247" s="1236">
        <f>$V247*BIBLE!Z143</f>
        <v>0</v>
      </c>
      <c r="AO247" s="1236">
        <f>$V247*BIBLE!AA143</f>
        <v>0</v>
      </c>
      <c r="AP247" s="1236">
        <f>$V247*BIBLE!AB143</f>
        <v>0</v>
      </c>
      <c r="AQ247" s="1236">
        <f>$V247*BIBLE!AC143</f>
        <v>0</v>
      </c>
      <c r="AR247" s="1236">
        <f>$V247*BIBLE!AD143</f>
        <v>0</v>
      </c>
    </row>
    <row r="248" spans="1:54" s="7" customFormat="1" ht="75" customHeight="1" x14ac:dyDescent="0.2">
      <c r="A248" s="1198" t="str">
        <f>BIBLE!E144</f>
        <v>PFA34</v>
      </c>
      <c r="B248" s="133" t="str">
        <f>BIBLE!F144</f>
        <v>L’autre parent refuse de vous parler et demande à votre enfant de faire les messages et autres demandes entourant la logistique familiale.</v>
      </c>
      <c r="C248" s="463" t="str">
        <f>BIBLE!O144</f>
        <v xml:space="preserve">Jamais / Rarement / Occasionnellement / Régulièrement / Souvent / Toujours / S.O. </v>
      </c>
      <c r="D248" s="1657">
        <f>IF(AND(P248&gt;=2,$P$27&gt;=3,$E$40&gt;8),BIBLE!M144,BIBLE!L144)</f>
        <v>2</v>
      </c>
      <c r="E248" s="19"/>
      <c r="F248" s="19"/>
      <c r="G248" s="19"/>
      <c r="H248" s="19"/>
      <c r="I248" s="19">
        <v>1</v>
      </c>
      <c r="J248" s="19"/>
      <c r="K248" s="19"/>
      <c r="L248" s="19"/>
      <c r="M248" s="19"/>
      <c r="N248" s="19"/>
      <c r="O248" s="19"/>
      <c r="P248" s="1561">
        <f>'TEST_pour PROTOTYPE'!D219</f>
        <v>4</v>
      </c>
      <c r="Q248" s="24">
        <f t="shared" si="89"/>
        <v>8</v>
      </c>
      <c r="R248" s="8">
        <f>IF(BIBLE!K144=0,"",BIBLE!K144)</f>
        <v>2</v>
      </c>
      <c r="S248" s="273"/>
      <c r="T248" s="273"/>
      <c r="U248" s="273"/>
      <c r="V248" s="6">
        <f>Q248</f>
        <v>8</v>
      </c>
      <c r="W248" s="273"/>
      <c r="X248" s="6">
        <f t="shared" si="92"/>
        <v>0</v>
      </c>
      <c r="Y248" s="6">
        <f t="shared" si="92"/>
        <v>2</v>
      </c>
      <c r="Z248" s="6">
        <f t="shared" si="92"/>
        <v>4</v>
      </c>
      <c r="AA248" s="6">
        <f t="shared" si="92"/>
        <v>8</v>
      </c>
      <c r="AB248" s="6">
        <f t="shared" si="92"/>
        <v>14</v>
      </c>
      <c r="AC248" s="6">
        <f t="shared" si="92"/>
        <v>20</v>
      </c>
      <c r="AE248" s="477"/>
      <c r="AF248" s="38"/>
      <c r="AG248" s="38"/>
      <c r="AH248" s="22">
        <f>$V248*BIBLE!S144</f>
        <v>0</v>
      </c>
      <c r="AI248" s="22">
        <f>$V248*BIBLE!T144</f>
        <v>0</v>
      </c>
      <c r="AJ248" s="22">
        <f>$V248*BIBLE!U144</f>
        <v>8</v>
      </c>
      <c r="AK248" s="1236">
        <f>$V248*BIBLE!W144</f>
        <v>0</v>
      </c>
      <c r="AL248" s="1236">
        <f>$V248*BIBLE!X144</f>
        <v>0</v>
      </c>
      <c r="AM248" s="1236">
        <f>$V248*BIBLE!Y144</f>
        <v>0</v>
      </c>
      <c r="AN248" s="1236">
        <f>$V248*BIBLE!Z144</f>
        <v>0</v>
      </c>
      <c r="AO248" s="1236">
        <f>$V248*BIBLE!AA144</f>
        <v>0</v>
      </c>
      <c r="AP248" s="1236">
        <f>$V248*BIBLE!AB144</f>
        <v>0</v>
      </c>
      <c r="AQ248" s="1236">
        <f>$V248*BIBLE!AC144</f>
        <v>0</v>
      </c>
      <c r="AR248" s="1236">
        <f>$V248*BIBLE!AD144</f>
        <v>8</v>
      </c>
    </row>
    <row r="249" spans="1:54" s="7" customFormat="1" ht="75" customHeight="1" x14ac:dyDescent="0.2">
      <c r="A249" s="1198" t="str">
        <f>BIBLE!E145</f>
        <v>PFA35</v>
      </c>
      <c r="B249" s="133" t="str">
        <f>IF($P$53&gt;=$R$53,BIBLE!F145,"")</f>
        <v/>
      </c>
      <c r="C249" s="463" t="str">
        <f>BIBLE!O145</f>
        <v xml:space="preserve">Jamais / Rarement / Occasionnellement / Régulièrement / Souvent / Toujours / S.O. </v>
      </c>
      <c r="D249" s="1290">
        <f>BIBLE!L145</f>
        <v>3</v>
      </c>
      <c r="E249" s="19"/>
      <c r="F249" s="19"/>
      <c r="G249" s="19"/>
      <c r="H249" s="19"/>
      <c r="I249" s="19"/>
      <c r="J249" s="19"/>
      <c r="K249" s="19">
        <v>1</v>
      </c>
      <c r="L249" s="19"/>
      <c r="M249" s="19"/>
      <c r="N249" s="19"/>
      <c r="O249" s="19"/>
      <c r="P249" s="1561">
        <f>'TEST_pour PROTOTYPE'!D220</f>
        <v>0</v>
      </c>
      <c r="Q249" s="24">
        <f t="shared" si="89"/>
        <v>0</v>
      </c>
      <c r="R249" s="8" t="str">
        <f>IF(BIBLE!K145=0,"",BIBLE!K145)</f>
        <v/>
      </c>
      <c r="S249" s="273"/>
      <c r="T249" s="273"/>
      <c r="U249" s="273"/>
      <c r="V249" s="6">
        <f>Q249</f>
        <v>0</v>
      </c>
      <c r="W249" s="273"/>
      <c r="X249" s="6">
        <f t="shared" si="92"/>
        <v>0</v>
      </c>
      <c r="Y249" s="6">
        <f t="shared" si="92"/>
        <v>0</v>
      </c>
      <c r="Z249" s="6">
        <f t="shared" si="92"/>
        <v>0</v>
      </c>
      <c r="AA249" s="6">
        <f t="shared" si="92"/>
        <v>0</v>
      </c>
      <c r="AB249" s="6">
        <f t="shared" si="92"/>
        <v>0</v>
      </c>
      <c r="AC249" s="6">
        <f t="shared" si="92"/>
        <v>0</v>
      </c>
      <c r="AE249" s="477"/>
      <c r="AF249" s="38"/>
      <c r="AG249" s="38"/>
      <c r="AH249" s="22">
        <f>$V249*BIBLE!S145</f>
        <v>0</v>
      </c>
      <c r="AI249" s="22">
        <f>$V249*BIBLE!T145</f>
        <v>0</v>
      </c>
      <c r="AJ249" s="22">
        <f>$V249*BIBLE!U145</f>
        <v>0</v>
      </c>
      <c r="AK249" s="1236">
        <f>$V249*BIBLE!W145</f>
        <v>0</v>
      </c>
      <c r="AL249" s="1236">
        <f>$V249*BIBLE!X145</f>
        <v>0</v>
      </c>
      <c r="AM249" s="1236">
        <f>$V249*BIBLE!Y145</f>
        <v>0</v>
      </c>
      <c r="AN249" s="1236">
        <f>$V249*BIBLE!Z145</f>
        <v>0</v>
      </c>
      <c r="AO249" s="1236">
        <f>$V249*BIBLE!AA145</f>
        <v>0</v>
      </c>
      <c r="AP249" s="1236">
        <f>$V249*BIBLE!AB145</f>
        <v>0</v>
      </c>
      <c r="AQ249" s="1236">
        <f>$V249*BIBLE!AC145</f>
        <v>0</v>
      </c>
      <c r="AR249" s="1236">
        <f>$V249*BIBLE!AD145</f>
        <v>0</v>
      </c>
    </row>
    <row r="250" spans="1:54" s="7" customFormat="1" ht="68" customHeight="1" x14ac:dyDescent="0.2">
      <c r="A250" s="1198" t="str">
        <f>BIBLE!E146</f>
        <v>PFA36</v>
      </c>
      <c r="B250" s="133" t="str">
        <f>IF($P$53&gt;=$R$53,BIBLE!F146,"")</f>
        <v/>
      </c>
      <c r="C250" s="463" t="str">
        <f>BIBLE!O146</f>
        <v>Nulle / Très faible / Faible / Moyenne / Élevée / Très élevée / S.O.</v>
      </c>
      <c r="D250" s="1290">
        <f>BIBLE!L146</f>
        <v>3</v>
      </c>
      <c r="E250" s="19"/>
      <c r="F250" s="19"/>
      <c r="G250" s="19"/>
      <c r="H250" s="19"/>
      <c r="I250" s="19"/>
      <c r="J250" s="19">
        <v>1</v>
      </c>
      <c r="K250" s="19"/>
      <c r="L250" s="19"/>
      <c r="M250" s="19"/>
      <c r="N250" s="19"/>
      <c r="O250" s="19"/>
      <c r="P250" s="1561">
        <f>'TEST_pour PROTOTYPE'!D221</f>
        <v>0</v>
      </c>
      <c r="Q250" s="24">
        <f>P250*D250</f>
        <v>0</v>
      </c>
      <c r="R250" s="8" t="str">
        <f>IF(BIBLE!K146=0,"",BIBLE!K146)</f>
        <v/>
      </c>
      <c r="S250" s="273"/>
      <c r="T250" s="273"/>
      <c r="U250" s="273"/>
      <c r="V250" s="6">
        <f>Q250</f>
        <v>0</v>
      </c>
      <c r="W250" s="273"/>
      <c r="X250" s="6">
        <f>IF($Q250&gt;0,X$109*$D250,0)</f>
        <v>0</v>
      </c>
      <c r="Y250" s="6">
        <f t="shared" si="92"/>
        <v>0</v>
      </c>
      <c r="Z250" s="6">
        <f t="shared" si="92"/>
        <v>0</v>
      </c>
      <c r="AA250" s="6">
        <f t="shared" si="92"/>
        <v>0</v>
      </c>
      <c r="AB250" s="6">
        <f t="shared" si="92"/>
        <v>0</v>
      </c>
      <c r="AC250" s="6">
        <f t="shared" si="92"/>
        <v>0</v>
      </c>
      <c r="AE250" s="477"/>
      <c r="AF250" s="38"/>
      <c r="AG250" s="38"/>
      <c r="AH250" s="22">
        <f>$V250*BIBLE!S146</f>
        <v>0</v>
      </c>
      <c r="AI250" s="22">
        <f>$V250*BIBLE!T146</f>
        <v>0</v>
      </c>
      <c r="AJ250" s="22">
        <f>$V250*BIBLE!U146</f>
        <v>0</v>
      </c>
      <c r="AK250" s="1236">
        <f>$V250*BIBLE!W146</f>
        <v>0</v>
      </c>
      <c r="AL250" s="1236">
        <f>$V250*BIBLE!X146</f>
        <v>0</v>
      </c>
      <c r="AM250" s="1236">
        <f>$V250*BIBLE!Y146</f>
        <v>0</v>
      </c>
      <c r="AN250" s="1236">
        <f>$V250*BIBLE!Z146</f>
        <v>0</v>
      </c>
      <c r="AO250" s="1236">
        <f>$V250*BIBLE!AA146</f>
        <v>0</v>
      </c>
      <c r="AP250" s="1236">
        <f>$V250*BIBLE!AB146</f>
        <v>0</v>
      </c>
      <c r="AQ250" s="1236">
        <f>$V250*BIBLE!AC146</f>
        <v>0</v>
      </c>
      <c r="AR250" s="1236">
        <f>$V250*BIBLE!AD146</f>
        <v>0</v>
      </c>
    </row>
    <row r="251" spans="1:54" s="7" customFormat="1" ht="45" customHeight="1" x14ac:dyDescent="0.2">
      <c r="A251" s="1198" t="str">
        <f>BIBLE!E147</f>
        <v>PFA38</v>
      </c>
      <c r="B251" s="133" t="str">
        <f>IF($P$53&gt;=$R$53,BIBLE!F147,"")</f>
        <v/>
      </c>
      <c r="C251" s="22"/>
      <c r="D251" s="1290"/>
      <c r="E251" s="8">
        <f>(D252*E252)+(D253*E253)+(D254*E254)+(D255*E255)+(D256*E256)</f>
        <v>0</v>
      </c>
      <c r="F251" s="19"/>
      <c r="G251" s="19"/>
      <c r="H251" s="19"/>
      <c r="I251" s="19"/>
      <c r="J251" s="19"/>
      <c r="K251" s="19"/>
      <c r="L251" s="19"/>
      <c r="M251" s="19"/>
      <c r="N251" s="19"/>
      <c r="O251" s="1563" t="s">
        <v>1294</v>
      </c>
      <c r="P251" s="24">
        <f>SUM(P252:P257)</f>
        <v>0</v>
      </c>
      <c r="Q251" s="24"/>
      <c r="R251" s="8"/>
      <c r="S251" s="273"/>
      <c r="T251" s="273"/>
      <c r="U251" s="273"/>
      <c r="V251" s="6"/>
      <c r="W251" s="273"/>
      <c r="X251" s="6"/>
      <c r="Y251" s="6"/>
      <c r="Z251" s="6"/>
      <c r="AA251" s="6"/>
      <c r="AB251" s="6"/>
      <c r="AC251" s="6"/>
      <c r="AE251" s="477"/>
      <c r="AF251" s="38"/>
      <c r="AG251" s="38"/>
      <c r="AH251" s="69"/>
      <c r="AI251" s="69"/>
      <c r="AJ251" s="69"/>
      <c r="AK251" s="683"/>
      <c r="AL251" s="683"/>
      <c r="AM251" s="683"/>
      <c r="AN251" s="683"/>
      <c r="AO251" s="683"/>
      <c r="AP251" s="683"/>
      <c r="AQ251" s="683"/>
      <c r="AR251" s="683"/>
    </row>
    <row r="252" spans="1:54" s="7" customFormat="1" ht="32" customHeight="1" x14ac:dyDescent="0.2">
      <c r="A252" s="1198"/>
      <c r="B252" s="133" t="str">
        <f>IF($P$53&gt;=$R$53,"Pension alimentaire (enjeux financiers) ","")</f>
        <v/>
      </c>
      <c r="C252" s="1291"/>
      <c r="D252" s="1459">
        <v>3</v>
      </c>
      <c r="E252" s="1477">
        <f>'TEST_pour PROTOTYPE'!D222</f>
        <v>0</v>
      </c>
      <c r="F252" s="40"/>
      <c r="G252" s="8"/>
      <c r="H252" s="8"/>
      <c r="I252" s="8"/>
      <c r="J252" s="8"/>
      <c r="N252" s="40"/>
      <c r="O252" s="40"/>
      <c r="P252" s="1473">
        <f>D252*E252</f>
        <v>0</v>
      </c>
      <c r="Q252" s="24"/>
      <c r="R252" s="8"/>
      <c r="S252" s="273"/>
      <c r="T252" s="273"/>
      <c r="U252" s="273"/>
      <c r="V252" s="273"/>
      <c r="W252" s="273"/>
      <c r="X252" s="8"/>
      <c r="Y252" s="8"/>
      <c r="Z252" s="8"/>
      <c r="AA252" s="8"/>
      <c r="AB252" s="8"/>
      <c r="AC252" s="8"/>
      <c r="AE252" s="477"/>
      <c r="AF252" s="38"/>
      <c r="AG252" s="38"/>
      <c r="AH252" s="69"/>
      <c r="AI252" s="69"/>
      <c r="AJ252" s="69"/>
      <c r="AK252" s="683"/>
      <c r="AL252" s="683"/>
      <c r="AM252" s="683"/>
      <c r="AN252" s="683"/>
      <c r="AO252" s="683"/>
      <c r="AP252" s="683"/>
      <c r="AQ252" s="683"/>
      <c r="AR252" s="683"/>
    </row>
    <row r="253" spans="1:54" s="7" customFormat="1" ht="32" customHeight="1" x14ac:dyDescent="0.2">
      <c r="A253" s="1198"/>
      <c r="B253" s="133" t="str">
        <f>IF($P$53&gt;=$R$53,"Souhaite refaire sa vie / nouvelle vie et vous êtes de trop","")</f>
        <v/>
      </c>
      <c r="C253" s="1291"/>
      <c r="D253" s="1459">
        <v>7</v>
      </c>
      <c r="E253" s="1477">
        <f>'TEST_pour PROTOTYPE'!D223</f>
        <v>0</v>
      </c>
      <c r="F253" s="40"/>
      <c r="G253" s="8"/>
      <c r="H253" s="8"/>
      <c r="I253" s="8"/>
      <c r="J253" s="8"/>
      <c r="N253" s="40"/>
      <c r="O253" s="40"/>
      <c r="P253" s="1473">
        <f t="shared" ref="P253:P257" si="93">D253*E253</f>
        <v>0</v>
      </c>
      <c r="Q253" s="24"/>
      <c r="R253" s="8"/>
      <c r="S253" s="273"/>
      <c r="T253" s="273"/>
      <c r="U253" s="273"/>
      <c r="V253" s="273"/>
      <c r="W253" s="273"/>
      <c r="X253" s="8"/>
      <c r="Y253" s="8"/>
      <c r="Z253" s="8"/>
      <c r="AA253" s="8"/>
      <c r="AB253" s="8"/>
      <c r="AC253" s="8"/>
      <c r="AE253" s="477"/>
      <c r="AF253" s="38"/>
      <c r="AG253" s="38"/>
      <c r="AH253" s="69"/>
      <c r="AI253" s="69"/>
      <c r="AJ253" s="69"/>
      <c r="AK253" s="683"/>
      <c r="AL253" s="683"/>
      <c r="AM253" s="683"/>
      <c r="AN253" s="683"/>
      <c r="AO253" s="683"/>
      <c r="AP253" s="683"/>
      <c r="AQ253" s="683"/>
      <c r="AR253" s="683"/>
    </row>
    <row r="254" spans="1:54" s="7" customFormat="1" ht="32" customHeight="1" x14ac:dyDescent="0.2">
      <c r="A254" s="1198"/>
      <c r="B254" s="133" t="str">
        <f>IF($P$53&gt;=$R$53,"Ne veut pas faire de compromis sur la logistique familiale ou le temps passé avec les enfants ","")</f>
        <v/>
      </c>
      <c r="C254" s="1292"/>
      <c r="D254" s="1459">
        <v>5</v>
      </c>
      <c r="E254" s="1477">
        <f>'TEST_pour PROTOTYPE'!D224</f>
        <v>0</v>
      </c>
      <c r="F254" s="40"/>
      <c r="G254" s="8"/>
      <c r="H254" s="8"/>
      <c r="I254" s="8"/>
      <c r="J254" s="8"/>
      <c r="N254" s="40"/>
      <c r="O254" s="40"/>
      <c r="P254" s="1473">
        <f t="shared" si="93"/>
        <v>0</v>
      </c>
      <c r="Q254" s="24"/>
      <c r="R254" s="8" t="str">
        <f>IF(BIBLE!K145=0,"",BIBLE!#REF!)</f>
        <v/>
      </c>
      <c r="S254" s="273"/>
      <c r="T254" s="273"/>
      <c r="U254" s="273"/>
      <c r="V254" s="273"/>
      <c r="W254" s="273"/>
      <c r="X254" s="8"/>
      <c r="Y254" s="8"/>
      <c r="Z254" s="8"/>
      <c r="AA254" s="8"/>
      <c r="AB254" s="8"/>
      <c r="AC254" s="8"/>
      <c r="AE254" s="477"/>
      <c r="AF254" s="38"/>
      <c r="AG254" s="38"/>
      <c r="AH254" s="69"/>
      <c r="AI254" s="69"/>
      <c r="AJ254" s="69"/>
      <c r="AK254" s="683"/>
      <c r="AL254" s="683"/>
      <c r="AM254" s="683"/>
      <c r="AN254" s="683"/>
      <c r="AO254" s="683"/>
      <c r="AP254" s="683"/>
      <c r="AQ254" s="683"/>
      <c r="AR254" s="683"/>
    </row>
    <row r="255" spans="1:54" s="7" customFormat="1" ht="32" customHeight="1" x14ac:dyDescent="0.2">
      <c r="A255" s="1198"/>
      <c r="B255" s="133" t="str">
        <f>IF($P$53&gt;=$R$53,"Souhaite vous blesser et se venger en vous retirant les enfants ","")</f>
        <v/>
      </c>
      <c r="C255" s="1292"/>
      <c r="D255" s="1459">
        <v>10</v>
      </c>
      <c r="E255" s="1477">
        <f>'TEST_pour PROTOTYPE'!D225</f>
        <v>0</v>
      </c>
      <c r="F255" s="40"/>
      <c r="G255" s="8"/>
      <c r="H255" s="8"/>
      <c r="I255" s="8"/>
      <c r="J255" s="8"/>
      <c r="N255" s="40"/>
      <c r="O255" s="40"/>
      <c r="P255" s="1473">
        <f t="shared" si="93"/>
        <v>0</v>
      </c>
      <c r="Q255" s="24"/>
      <c r="R255" s="8"/>
      <c r="S255" s="273"/>
      <c r="T255" s="273"/>
      <c r="U255" s="273"/>
      <c r="V255" s="273"/>
      <c r="W255" s="273"/>
      <c r="X255" s="8"/>
      <c r="Y255" s="8"/>
      <c r="Z255" s="8"/>
      <c r="AA255" s="8"/>
      <c r="AB255" s="8"/>
      <c r="AC255" s="8"/>
      <c r="AE255" s="477"/>
      <c r="AF255" s="38"/>
      <c r="AG255" s="38"/>
      <c r="AH255" s="69"/>
      <c r="AI255" s="69"/>
      <c r="AJ255" s="69"/>
      <c r="AK255" s="683"/>
      <c r="AL255" s="683"/>
      <c r="AM255" s="683"/>
      <c r="AN255" s="683"/>
      <c r="AO255" s="683"/>
      <c r="AP255" s="683"/>
      <c r="AQ255" s="683"/>
      <c r="AR255" s="683"/>
    </row>
    <row r="256" spans="1:54" s="7" customFormat="1" ht="32" customHeight="1" x14ac:dyDescent="0.2">
      <c r="A256" s="1198"/>
      <c r="B256" s="133" t="str">
        <f>IF($P$53&gt;=$R$53,"S'approprie les enfants (désir de garde exclusive)","")</f>
        <v/>
      </c>
      <c r="C256" s="1292"/>
      <c r="D256" s="1459">
        <v>7</v>
      </c>
      <c r="E256" s="1477">
        <f>'TEST_pour PROTOTYPE'!D226</f>
        <v>0</v>
      </c>
      <c r="F256" s="40"/>
      <c r="G256" s="8"/>
      <c r="H256" s="8"/>
      <c r="I256" s="8"/>
      <c r="J256" s="8"/>
      <c r="N256" s="40"/>
      <c r="O256" s="40"/>
      <c r="P256" s="1473">
        <f t="shared" si="93"/>
        <v>0</v>
      </c>
      <c r="Q256" s="24"/>
      <c r="R256" s="8"/>
      <c r="S256" s="273"/>
      <c r="T256" s="273"/>
      <c r="U256" s="273"/>
      <c r="V256" s="273"/>
      <c r="W256" s="273"/>
      <c r="X256" s="8"/>
      <c r="Y256" s="8"/>
      <c r="Z256" s="8"/>
      <c r="AA256" s="8"/>
      <c r="AB256" s="8"/>
      <c r="AC256" s="8"/>
      <c r="AE256" s="477"/>
      <c r="AF256" s="38"/>
      <c r="AG256" s="38"/>
      <c r="AH256" s="69"/>
      <c r="AI256" s="69"/>
      <c r="AJ256" s="69"/>
      <c r="AK256" s="683"/>
      <c r="AL256" s="683"/>
      <c r="AM256" s="683"/>
      <c r="AN256" s="683"/>
      <c r="AO256" s="683"/>
      <c r="AP256" s="683"/>
      <c r="AQ256" s="683"/>
      <c r="AR256" s="683"/>
    </row>
    <row r="257" spans="1:60" s="7" customFormat="1" ht="32" customHeight="1" x14ac:dyDescent="0.2">
      <c r="A257" s="1198"/>
      <c r="B257" s="133" t="str">
        <f>IF($P$53&gt;=$R$53,"Aucun","")</f>
        <v/>
      </c>
      <c r="C257" s="1291"/>
      <c r="D257" s="1459">
        <v>0</v>
      </c>
      <c r="E257" s="1477">
        <f>'TEST_pour PROTOTYPE'!D227</f>
        <v>0</v>
      </c>
      <c r="F257" s="40"/>
      <c r="G257" s="8"/>
      <c r="H257" s="8"/>
      <c r="I257" s="8"/>
      <c r="J257" s="8"/>
      <c r="N257" s="40"/>
      <c r="O257" s="40"/>
      <c r="P257" s="1473">
        <f t="shared" si="93"/>
        <v>0</v>
      </c>
      <c r="Q257" s="24"/>
      <c r="R257" s="8"/>
      <c r="S257" s="273"/>
      <c r="T257" s="273"/>
      <c r="U257" s="273"/>
      <c r="V257" s="273"/>
      <c r="W257" s="273"/>
      <c r="X257" s="8"/>
      <c r="Y257" s="8"/>
      <c r="Z257" s="8"/>
      <c r="AA257" s="8"/>
      <c r="AB257" s="8"/>
      <c r="AC257" s="8"/>
      <c r="AE257" s="477"/>
      <c r="AF257" s="38"/>
      <c r="AG257" s="38"/>
      <c r="AH257" s="69"/>
      <c r="AI257" s="69"/>
      <c r="AJ257" s="69"/>
      <c r="AK257" s="683"/>
      <c r="AL257" s="683"/>
      <c r="AM257" s="683"/>
      <c r="AN257" s="683"/>
      <c r="AO257" s="683"/>
      <c r="AP257" s="683"/>
      <c r="AQ257" s="683"/>
      <c r="AR257" s="683"/>
    </row>
    <row r="258" spans="1:60" s="7" customFormat="1" ht="32" customHeight="1" x14ac:dyDescent="0.2">
      <c r="A258" s="1198"/>
      <c r="B258" s="133" t="str">
        <f>IF($P$53&gt;=$R$53,"Autre (spécifiez)","")</f>
        <v/>
      </c>
      <c r="C258" s="1291"/>
      <c r="D258" s="1459" t="s">
        <v>1169</v>
      </c>
      <c r="E258" s="40"/>
      <c r="F258" s="40"/>
      <c r="G258" s="8"/>
      <c r="H258" s="8"/>
      <c r="I258" s="8"/>
      <c r="J258" s="8"/>
      <c r="N258" s="40"/>
      <c r="O258" s="40"/>
      <c r="P258" s="1473"/>
      <c r="Q258" s="24"/>
      <c r="R258" s="8"/>
      <c r="S258" s="273"/>
      <c r="T258" s="273"/>
      <c r="U258" s="273"/>
      <c r="V258" s="273"/>
      <c r="W258" s="273"/>
      <c r="X258" s="8"/>
      <c r="Y258" s="8"/>
      <c r="Z258" s="8"/>
      <c r="AA258" s="8"/>
      <c r="AB258" s="8"/>
      <c r="AC258" s="8"/>
      <c r="AE258" s="477"/>
      <c r="AF258" s="38"/>
      <c r="AG258" s="38"/>
      <c r="AH258" s="69"/>
      <c r="AI258" s="69"/>
      <c r="AJ258" s="69"/>
      <c r="AK258" s="683"/>
      <c r="AL258" s="683"/>
      <c r="AM258" s="683"/>
      <c r="AN258" s="683"/>
      <c r="AO258" s="683"/>
      <c r="AP258" s="683"/>
      <c r="AQ258" s="683"/>
      <c r="AR258" s="683"/>
    </row>
    <row r="259" spans="1:60" s="7" customFormat="1" ht="23" customHeight="1" x14ac:dyDescent="0.2">
      <c r="A259" s="1198"/>
      <c r="B259" s="133"/>
      <c r="C259" s="100"/>
      <c r="D259" s="266"/>
      <c r="E259" s="40"/>
      <c r="F259" s="40"/>
      <c r="G259" s="8"/>
      <c r="H259" s="8"/>
      <c r="I259" s="8"/>
      <c r="J259" s="8"/>
      <c r="L259" s="67"/>
      <c r="M259" s="6"/>
      <c r="N259" s="500"/>
      <c r="O259" s="40"/>
      <c r="P259" s="40"/>
      <c r="R259" s="40"/>
      <c r="S259" s="40"/>
      <c r="T259" s="40"/>
      <c r="U259" s="40"/>
      <c r="V259" s="453">
        <f>SUM(V163:V256)</f>
        <v>391</v>
      </c>
      <c r="W259" s="40"/>
      <c r="X259" s="453">
        <f t="shared" ref="X259:AC259" si="94">SUM(X163:X256)</f>
        <v>0</v>
      </c>
      <c r="Y259" s="453">
        <f t="shared" si="94"/>
        <v>66</v>
      </c>
      <c r="Z259" s="453">
        <f t="shared" si="94"/>
        <v>132</v>
      </c>
      <c r="AA259" s="453">
        <f t="shared" si="94"/>
        <v>264</v>
      </c>
      <c r="AB259" s="453">
        <f t="shared" si="94"/>
        <v>462</v>
      </c>
      <c r="AC259" s="453">
        <f t="shared" si="94"/>
        <v>660</v>
      </c>
      <c r="AD259" s="503">
        <f>V259/(AC259)</f>
        <v>0.59242424242424241</v>
      </c>
      <c r="AE259" s="1247">
        <f t="shared" ref="AE259:AR259" si="95">SUM(AE163:AE258)</f>
        <v>44</v>
      </c>
      <c r="AF259" s="1714"/>
      <c r="AG259" s="1714"/>
      <c r="AH259" s="1248">
        <f t="shared" si="95"/>
        <v>182</v>
      </c>
      <c r="AI259" s="1248">
        <f t="shared" si="95"/>
        <v>144</v>
      </c>
      <c r="AJ259" s="1248">
        <f t="shared" si="95"/>
        <v>57</v>
      </c>
      <c r="AK259" s="1249">
        <f t="shared" si="95"/>
        <v>0</v>
      </c>
      <c r="AL259" s="1249">
        <f t="shared" si="95"/>
        <v>49</v>
      </c>
      <c r="AM259" s="1249">
        <f t="shared" si="95"/>
        <v>39</v>
      </c>
      <c r="AN259" s="1249">
        <f t="shared" si="95"/>
        <v>36</v>
      </c>
      <c r="AO259" s="1249">
        <f t="shared" si="95"/>
        <v>65</v>
      </c>
      <c r="AP259" s="1249">
        <f t="shared" si="95"/>
        <v>115</v>
      </c>
      <c r="AQ259" s="1249">
        <f t="shared" si="95"/>
        <v>20</v>
      </c>
      <c r="AR259" s="1249">
        <f t="shared" si="95"/>
        <v>59</v>
      </c>
    </row>
    <row r="260" spans="1:60" s="7" customFormat="1" x14ac:dyDescent="0.2">
      <c r="A260" s="105"/>
      <c r="B260" s="25"/>
      <c r="C260" s="109"/>
      <c r="D260" s="267"/>
      <c r="E260" s="40"/>
      <c r="F260" s="40"/>
      <c r="G260" s="8"/>
      <c r="H260" s="8"/>
      <c r="I260" s="8"/>
      <c r="J260" s="8"/>
      <c r="L260" s="67"/>
      <c r="M260" s="6"/>
      <c r="N260" s="40"/>
      <c r="O260" s="40"/>
      <c r="P260" s="40"/>
      <c r="Q260" s="40"/>
      <c r="R260" s="40"/>
      <c r="S260" s="40"/>
      <c r="T260" s="40"/>
      <c r="U260" s="40"/>
      <c r="V260" s="273"/>
      <c r="W260" s="40"/>
      <c r="X260" s="8"/>
      <c r="Y260" s="7" t="s">
        <v>358</v>
      </c>
      <c r="Z260" s="8" t="s">
        <v>359</v>
      </c>
      <c r="AA260" s="8" t="s">
        <v>26</v>
      </c>
      <c r="AB260" s="8" t="s">
        <v>27</v>
      </c>
      <c r="AC260" s="8" t="s">
        <v>1985</v>
      </c>
      <c r="AE260" s="1250"/>
      <c r="AF260" s="1716"/>
      <c r="AG260" s="1716"/>
      <c r="AH260" s="1251">
        <f>AH259/SUM($AH$259:$AJ$259)</f>
        <v>0.47519582245430808</v>
      </c>
      <c r="AI260" s="1251">
        <f>AI259/SUM($AH$259:$AJ$259)</f>
        <v>0.37597911227154046</v>
      </c>
      <c r="AJ260" s="1251">
        <f>AJ259/SUM($AH$259:$AJ$259)</f>
        <v>0.14882506527415143</v>
      </c>
      <c r="AK260" s="1252">
        <f>AK259/SUM($AK$259:$AR$259)</f>
        <v>0</v>
      </c>
      <c r="AL260" s="1252">
        <f t="shared" ref="AL260:AR260" si="96">AL259/SUM($AK$259:$AR$259)</f>
        <v>0.12793733681462141</v>
      </c>
      <c r="AM260" s="1252">
        <f t="shared" si="96"/>
        <v>0.10182767624020887</v>
      </c>
      <c r="AN260" s="1252">
        <f t="shared" si="96"/>
        <v>9.3994778067885115E-2</v>
      </c>
      <c r="AO260" s="1252">
        <f t="shared" si="96"/>
        <v>0.16971279373368145</v>
      </c>
      <c r="AP260" s="1252">
        <f t="shared" si="96"/>
        <v>0.30026109660574413</v>
      </c>
      <c r="AQ260" s="1252">
        <f t="shared" si="96"/>
        <v>5.2219321148825062E-2</v>
      </c>
      <c r="AR260" s="1252">
        <f t="shared" si="96"/>
        <v>0.15404699738903394</v>
      </c>
    </row>
    <row r="261" spans="1:60" s="17" customFormat="1" x14ac:dyDescent="0.2">
      <c r="A261" s="105"/>
      <c r="B261" s="25"/>
      <c r="C261" s="100"/>
      <c r="D261" s="1657"/>
      <c r="G261" s="135"/>
      <c r="H261" s="135"/>
      <c r="I261" s="135"/>
      <c r="J261" s="135"/>
      <c r="K261" s="7"/>
      <c r="P261" s="23"/>
      <c r="Q261" s="24"/>
      <c r="V261" s="8"/>
      <c r="X261" s="2487" t="s">
        <v>356</v>
      </c>
      <c r="Y261" s="2487"/>
      <c r="Z261" s="2487"/>
      <c r="AA261" s="2487"/>
      <c r="AB261" s="2487"/>
      <c r="AC261" s="2487"/>
      <c r="AE261" s="477"/>
      <c r="AF261" s="38"/>
      <c r="AG261" s="38"/>
      <c r="AH261" s="464"/>
      <c r="AI261" s="464"/>
      <c r="AJ261" s="464"/>
      <c r="AK261" s="1237"/>
      <c r="AL261" s="1237"/>
      <c r="AM261" s="1237"/>
      <c r="AN261" s="1237"/>
      <c r="AO261" s="1237"/>
      <c r="AP261" s="1237"/>
      <c r="AQ261" s="1237"/>
      <c r="AR261" s="1237"/>
    </row>
    <row r="262" spans="1:60" s="17" customFormat="1" ht="37" thickBot="1" x14ac:dyDescent="0.25">
      <c r="A262" s="520" t="s">
        <v>307</v>
      </c>
      <c r="B262" s="25"/>
      <c r="C262" s="464"/>
      <c r="D262" s="557" t="s">
        <v>239</v>
      </c>
      <c r="E262" s="275">
        <f>$E$97</f>
        <v>0</v>
      </c>
      <c r="F262" s="275">
        <f>$F$97</f>
        <v>1</v>
      </c>
      <c r="G262" s="275">
        <f>$G$97</f>
        <v>2</v>
      </c>
      <c r="H262" s="275">
        <f>$H$97</f>
        <v>3</v>
      </c>
      <c r="I262" s="275">
        <f>$I$97</f>
        <v>4</v>
      </c>
      <c r="J262" s="275">
        <f>$J$97</f>
        <v>5</v>
      </c>
      <c r="K262" s="275">
        <f>$K$97</f>
        <v>6</v>
      </c>
      <c r="L262" s="275">
        <f>$L$97</f>
        <v>7</v>
      </c>
      <c r="M262" s="275">
        <f>$M$97</f>
        <v>8</v>
      </c>
      <c r="N262" s="275">
        <f>$N$97</f>
        <v>9</v>
      </c>
      <c r="O262" s="275">
        <f>$O$97</f>
        <v>10</v>
      </c>
      <c r="P262" s="60" t="s">
        <v>227</v>
      </c>
      <c r="Q262" s="60" t="s">
        <v>228</v>
      </c>
      <c r="R262" s="60" t="s">
        <v>237</v>
      </c>
      <c r="V262" s="8"/>
      <c r="X262" s="448">
        <f>X$109</f>
        <v>0</v>
      </c>
      <c r="Y262" s="448">
        <f t="shared" ref="Y262:AC262" si="97">Y$109</f>
        <v>1</v>
      </c>
      <c r="Z262" s="448">
        <f t="shared" si="97"/>
        <v>2</v>
      </c>
      <c r="AA262" s="448">
        <f t="shared" si="97"/>
        <v>4</v>
      </c>
      <c r="AB262" s="448">
        <f t="shared" si="97"/>
        <v>7</v>
      </c>
      <c r="AC262" s="448">
        <f t="shared" si="97"/>
        <v>10</v>
      </c>
      <c r="AE262" s="477"/>
      <c r="AF262" s="38"/>
      <c r="AG262" s="38"/>
      <c r="AH262" s="464"/>
      <c r="AI262" s="464"/>
      <c r="AJ262" s="464"/>
      <c r="AK262" s="1237"/>
      <c r="AL262" s="1237"/>
      <c r="AM262" s="1237"/>
      <c r="AN262" s="1237"/>
      <c r="AO262" s="1237"/>
      <c r="AP262" s="1237"/>
      <c r="AQ262" s="1237"/>
      <c r="AR262" s="1237"/>
    </row>
    <row r="263" spans="1:60" s="17" customFormat="1" ht="50" customHeight="1" thickTop="1" x14ac:dyDescent="0.2">
      <c r="A263" s="1199" t="str">
        <f>BIBLE!E151</f>
        <v>E01</v>
      </c>
      <c r="B263" s="467" t="str">
        <f>BIBLE!F151</f>
        <v>Comment qualifieriez-vous votre relation et votre degré de complicité avec votre enfant, aujourd’hui (temps présent) ?</v>
      </c>
      <c r="C263" s="463" t="str">
        <f>BIBLE!O151</f>
        <v>Aucune (1) à Excellente (10)</v>
      </c>
      <c r="D263" s="1290">
        <f>BIBLE!L151</f>
        <v>1</v>
      </c>
      <c r="E263" s="7"/>
      <c r="F263" s="7"/>
      <c r="G263" s="136"/>
      <c r="H263" s="136"/>
      <c r="I263" s="136"/>
      <c r="J263" s="136"/>
      <c r="K263" s="25"/>
      <c r="L263" s="7"/>
      <c r="M263" s="7"/>
      <c r="N263" s="7">
        <v>1</v>
      </c>
      <c r="O263" s="7"/>
      <c r="P263" s="1561">
        <f>'TEST_pour PROTOTYPE'!D242</f>
        <v>9</v>
      </c>
      <c r="Q263" s="24">
        <f>P263*D263</f>
        <v>9</v>
      </c>
      <c r="R263" s="8" t="str">
        <f>IF(BIBLE!K151=0,"",BIBLE!K151)</f>
        <v/>
      </c>
      <c r="V263" s="8"/>
      <c r="X263" s="8"/>
      <c r="Y263" s="8"/>
      <c r="Z263" s="8"/>
      <c r="AA263" s="8"/>
      <c r="AB263" s="8"/>
      <c r="AC263" s="8"/>
      <c r="AE263" s="477"/>
      <c r="AF263" s="38"/>
      <c r="AG263" s="38"/>
      <c r="AH263" s="464"/>
      <c r="AI263" s="464"/>
      <c r="AJ263" s="464"/>
      <c r="AK263" s="1237"/>
      <c r="AL263" s="1237"/>
      <c r="AM263" s="1237"/>
      <c r="AN263" s="1237"/>
      <c r="AO263" s="1237"/>
      <c r="AP263" s="1237"/>
      <c r="AQ263" s="1237"/>
      <c r="AR263" s="1237"/>
    </row>
    <row r="264" spans="1:60" s="17" customFormat="1" ht="47" customHeight="1" x14ac:dyDescent="0.2">
      <c r="A264" s="1199" t="str">
        <f>BIBLE!E152</f>
        <v>E02</v>
      </c>
      <c r="B264" s="467" t="str">
        <f>BIBLE!F152</f>
        <v>Dans quelle mesure diriez-vous que votre enfant idéalise (aujourd'hui) l’autre parent ?</v>
      </c>
      <c r="C264" s="463" t="str">
        <f>BIBLE!O152</f>
        <v>Aucune (1) à Excellente (10)</v>
      </c>
      <c r="D264" s="1290">
        <f>BIBLE!L152</f>
        <v>1</v>
      </c>
      <c r="E264" s="7"/>
      <c r="F264" s="7"/>
      <c r="G264" s="136"/>
      <c r="H264" s="136"/>
      <c r="I264" s="136"/>
      <c r="J264" s="136">
        <v>1</v>
      </c>
      <c r="K264" s="25"/>
      <c r="L264" s="7"/>
      <c r="M264" s="7"/>
      <c r="N264" s="7"/>
      <c r="O264" s="7"/>
      <c r="P264" s="1561">
        <f>'TEST_pour PROTOTYPE'!D243</f>
        <v>5</v>
      </c>
      <c r="Q264" s="24">
        <f>P264*D264</f>
        <v>5</v>
      </c>
      <c r="R264" s="8">
        <f>IF(BIBLE!K152=0,"",BIBLE!K152)</f>
        <v>6</v>
      </c>
      <c r="V264" s="8"/>
      <c r="X264" s="8"/>
      <c r="Y264" s="8"/>
      <c r="Z264" s="8"/>
      <c r="AA264" s="8"/>
      <c r="AB264" s="8"/>
      <c r="AC264" s="8"/>
      <c r="AE264" s="477"/>
      <c r="AF264" s="38"/>
      <c r="AG264" s="38"/>
      <c r="AH264" s="464"/>
      <c r="AI264" s="464"/>
      <c r="AJ264" s="464"/>
      <c r="AK264" s="1237"/>
      <c r="AL264" s="1237"/>
      <c r="AM264" s="1237"/>
      <c r="AN264" s="1237"/>
      <c r="AO264" s="1237"/>
      <c r="AP264" s="1237"/>
      <c r="AQ264" s="1237"/>
      <c r="AR264" s="1237"/>
    </row>
    <row r="265" spans="1:60" s="7" customFormat="1" ht="45" customHeight="1" x14ac:dyDescent="0.2">
      <c r="A265" s="1199" t="str">
        <f>BIBLE!E153</f>
        <v>E02a</v>
      </c>
      <c r="B265" s="134" t="str">
        <f>IF(P264&gt;=R264,BIBLE!F153,"")</f>
        <v/>
      </c>
      <c r="C265" s="463" t="str">
        <f>BIBLE!O153</f>
        <v>Aucune (1) à Excellente (10)</v>
      </c>
      <c r="D265" s="1290">
        <f>BIBLE!L153</f>
        <v>1</v>
      </c>
      <c r="E265" s="20"/>
      <c r="F265" s="20"/>
      <c r="G265" s="20"/>
      <c r="H265" s="20"/>
      <c r="I265" s="20"/>
      <c r="J265" s="20"/>
      <c r="K265" s="20"/>
      <c r="L265" s="20"/>
      <c r="M265" s="20"/>
      <c r="N265" s="20"/>
      <c r="O265" s="20"/>
      <c r="P265" s="1561">
        <f>'TEST_pour PROTOTYPE'!D244</f>
        <v>0</v>
      </c>
      <c r="Q265" s="24">
        <f>P265*D265</f>
        <v>0</v>
      </c>
      <c r="R265" s="8" t="str">
        <f>IF(BIBLE!K153=0,"",BIBLE!K153)</f>
        <v/>
      </c>
      <c r="S265" s="40"/>
      <c r="T265" s="40"/>
      <c r="U265" s="40"/>
      <c r="V265" s="273"/>
      <c r="W265" s="40"/>
      <c r="X265" s="8"/>
      <c r="Y265" s="8"/>
      <c r="Z265" s="8"/>
      <c r="AA265" s="8"/>
      <c r="AB265" s="8"/>
      <c r="AC265" s="8"/>
      <c r="AE265" s="477"/>
      <c r="AF265" s="38"/>
      <c r="AG265" s="38"/>
      <c r="AH265" s="69"/>
      <c r="AI265" s="69"/>
      <c r="AJ265" s="69"/>
      <c r="AK265" s="683"/>
      <c r="AL265" s="683"/>
      <c r="AM265" s="683"/>
      <c r="AN265" s="683"/>
      <c r="AO265" s="683"/>
      <c r="AP265" s="683"/>
      <c r="AQ265" s="683"/>
      <c r="AR265" s="683"/>
    </row>
    <row r="266" spans="1:60" s="17" customFormat="1" ht="34" customHeight="1" thickBot="1" x14ac:dyDescent="0.25">
      <c r="A266" s="1199"/>
      <c r="B266" s="133"/>
      <c r="C266" s="463"/>
      <c r="D266" s="1290"/>
      <c r="E266" s="472">
        <f>$E$52</f>
        <v>0</v>
      </c>
      <c r="F266" s="275">
        <f>$F$52</f>
        <v>0</v>
      </c>
      <c r="G266" s="275">
        <f>$G$52</f>
        <v>1</v>
      </c>
      <c r="H266" s="275">
        <f>$H$52</f>
        <v>2</v>
      </c>
      <c r="I266" s="275">
        <f>$I$52</f>
        <v>4</v>
      </c>
      <c r="J266" s="275">
        <f>$J$52</f>
        <v>7</v>
      </c>
      <c r="K266" s="275">
        <f>$K$52</f>
        <v>10</v>
      </c>
      <c r="P266" s="60" t="s">
        <v>227</v>
      </c>
      <c r="Q266" s="60" t="s">
        <v>228</v>
      </c>
      <c r="R266" s="60" t="s">
        <v>237</v>
      </c>
      <c r="V266" s="8"/>
      <c r="X266" s="8"/>
      <c r="Y266" s="8"/>
      <c r="Z266" s="8"/>
      <c r="AA266" s="8"/>
      <c r="AB266" s="8"/>
      <c r="AC266" s="8"/>
      <c r="AE266" s="477"/>
      <c r="AF266" s="38"/>
      <c r="AG266" s="38"/>
      <c r="AH266" s="464"/>
      <c r="AI266" s="464"/>
      <c r="AJ266" s="464"/>
      <c r="AK266" s="1237"/>
      <c r="AL266" s="1237"/>
      <c r="AM266" s="1237"/>
      <c r="AN266" s="1237"/>
      <c r="AO266" s="1237"/>
      <c r="AP266" s="1237"/>
      <c r="AQ266" s="1237"/>
      <c r="AR266" s="1237"/>
    </row>
    <row r="267" spans="1:60" s="7" customFormat="1" ht="77" customHeight="1" thickTop="1" x14ac:dyDescent="0.2">
      <c r="A267" s="1199" t="str">
        <f>BIBLE!E154</f>
        <v>E03</v>
      </c>
      <c r="B267" s="467" t="str">
        <f>BIBLE!F154</f>
        <v>Votre enfant garde des secrets et vous cache de l'information concernant sa relation avec l'autre parent.</v>
      </c>
      <c r="C267" s="463" t="str">
        <f>BIBLE!O154</f>
        <v xml:space="preserve">Jamais / Rarement / Occasionnellement / Régulièrement / Souvent / Toujours / S.O. </v>
      </c>
      <c r="D267" s="1290">
        <f>IF($E$40&lt;=8,BIBLE!M154,BIBLE!L154)</f>
        <v>1</v>
      </c>
      <c r="E267" s="20"/>
      <c r="F267" s="20"/>
      <c r="G267" s="20"/>
      <c r="H267" s="20"/>
      <c r="I267" s="20">
        <v>1</v>
      </c>
      <c r="J267" s="20"/>
      <c r="K267" s="20"/>
      <c r="L267" s="20"/>
      <c r="M267" s="20"/>
      <c r="N267" s="20"/>
      <c r="O267" s="20"/>
      <c r="P267" s="1561">
        <f>'TEST_pour PROTOTYPE'!D245</f>
        <v>2</v>
      </c>
      <c r="Q267" s="24">
        <f t="shared" ref="Q267:Q272" si="98">P267*D267</f>
        <v>2</v>
      </c>
      <c r="R267" s="8">
        <f>IF(BIBLE!K154=0,"",BIBLE!K154)</f>
        <v>4</v>
      </c>
      <c r="S267" s="17"/>
      <c r="T267" s="17"/>
      <c r="U267" s="17"/>
      <c r="V267" s="6">
        <f>IF(P267&gt;=R267,IF(Q267&gt;Q268,Q267,Q268),Q267)</f>
        <v>2</v>
      </c>
      <c r="W267" s="8"/>
      <c r="X267" s="6">
        <f t="shared" ref="X267:AC267" si="99">IF(($P267&gt;=$R267),IF($Q267&gt;$Q268,X$109*$D267,X$109*$D268),X$109*$D267)</f>
        <v>0</v>
      </c>
      <c r="Y267" s="6">
        <f t="shared" si="99"/>
        <v>1</v>
      </c>
      <c r="Z267" s="6">
        <f t="shared" si="99"/>
        <v>2</v>
      </c>
      <c r="AA267" s="6">
        <f t="shared" si="99"/>
        <v>4</v>
      </c>
      <c r="AB267" s="6">
        <f t="shared" si="99"/>
        <v>7</v>
      </c>
      <c r="AC267" s="6">
        <f t="shared" si="99"/>
        <v>10</v>
      </c>
      <c r="AE267" s="477"/>
      <c r="AF267" s="38"/>
      <c r="AG267" s="38"/>
      <c r="AH267" s="22">
        <f>IF($Q267=$V267,$Q267*BIBLE!S154,$Q268*BIBLE!S155)</f>
        <v>1</v>
      </c>
      <c r="AI267" s="22">
        <f>IF($Q267=$V267,$Q267*BIBLE!T154,$Q268*BIBLE!T155)</f>
        <v>1</v>
      </c>
      <c r="AJ267" s="22">
        <f>IF($Q267=$V267,$Q267*BIBLE!U154,$Q268*BIBLE!U155)</f>
        <v>0</v>
      </c>
      <c r="AK267" s="1236">
        <f>IF($Q267=$V267,$Q267*BIBLE!W154,$Q268*BIBLE!W155)</f>
        <v>2</v>
      </c>
      <c r="AL267" s="1236">
        <f>IF($Q267=$V267,$Q267*BIBLE!X154,$Q268*BIBLE!X155)</f>
        <v>0</v>
      </c>
      <c r="AM267" s="1236">
        <f>IF($Q267=$V267,$Q267*BIBLE!Y154,$Q268*BIBLE!Y155)</f>
        <v>0</v>
      </c>
      <c r="AN267" s="1236">
        <f>IF($Q267=$V267,$Q267*BIBLE!Z154,$Q268*BIBLE!Z155)</f>
        <v>0</v>
      </c>
      <c r="AO267" s="1236">
        <f>IF($Q267=$V267,$Q267*BIBLE!AA154,$Q268*BIBLE!AA155)</f>
        <v>0</v>
      </c>
      <c r="AP267" s="1236">
        <f>IF($Q267=$V267,$Q267*BIBLE!AB154,$Q268*BIBLE!AB155)</f>
        <v>0</v>
      </c>
      <c r="AQ267" s="1236">
        <f>IF($Q267=$V267,$Q267*BIBLE!AC154,$Q268*BIBLE!AC155)</f>
        <v>0</v>
      </c>
      <c r="AR267" s="1236">
        <f>IF($Q267=$V267,$Q267*BIBLE!AD154,$Q268*BIBLE!AD155)</f>
        <v>0</v>
      </c>
    </row>
    <row r="268" spans="1:60" s="7" customFormat="1" ht="77" customHeight="1" x14ac:dyDescent="0.2">
      <c r="A268" s="1199" t="str">
        <f>BIBLE!E155</f>
        <v>E03a</v>
      </c>
      <c r="B268" s="134" t="str">
        <f>IF(P267&gt;=R267,BIBLE!F155,"")</f>
        <v/>
      </c>
      <c r="C268" s="463" t="str">
        <f>BIBLE!O155</f>
        <v>Nulle / Très faible / Faible / Moyenne / Élevée / Très élevée / S.O.</v>
      </c>
      <c r="D268" s="1290">
        <f>BIBLE!L155</f>
        <v>2</v>
      </c>
      <c r="E268" s="20"/>
      <c r="F268" s="20"/>
      <c r="G268" s="20"/>
      <c r="H268" s="20"/>
      <c r="I268" s="20"/>
      <c r="J268" s="20"/>
      <c r="K268" s="20"/>
      <c r="L268" s="20"/>
      <c r="M268" s="20"/>
      <c r="N268" s="20"/>
      <c r="O268" s="20"/>
      <c r="P268" s="1561">
        <f>'TEST_pour PROTOTYPE'!D246</f>
        <v>0</v>
      </c>
      <c r="Q268" s="24">
        <f t="shared" si="98"/>
        <v>0</v>
      </c>
      <c r="R268" s="8" t="str">
        <f>IF(BIBLE!K155=0,"",BIBLE!K155)</f>
        <v/>
      </c>
      <c r="V268" s="8"/>
      <c r="X268" s="6"/>
      <c r="Y268" s="6"/>
      <c r="Z268" s="6"/>
      <c r="AA268" s="6"/>
      <c r="AB268" s="6"/>
      <c r="AC268" s="6"/>
      <c r="AE268" s="477"/>
      <c r="AF268" s="38"/>
      <c r="AG268" s="38"/>
      <c r="AH268" s="69"/>
      <c r="AI268" s="69"/>
      <c r="AJ268" s="69"/>
      <c r="AK268" s="683"/>
      <c r="AL268" s="683"/>
      <c r="AM268" s="683"/>
      <c r="AN268" s="683"/>
      <c r="AO268" s="683"/>
      <c r="AP268" s="683"/>
      <c r="AQ268" s="683"/>
      <c r="AR268" s="683"/>
    </row>
    <row r="269" spans="1:60" s="7" customFormat="1" ht="77" customHeight="1" x14ac:dyDescent="0.2">
      <c r="A269" s="1199" t="str">
        <f>BIBLE!E156</f>
        <v>E04</v>
      </c>
      <c r="B269" s="467" t="str">
        <f>IF($P$59&gt;=3,BIBLE!F156,"")</f>
        <v>Votre enfant défend l'autre parent, quoi que vous fassiez, quoi que vous disiez.</v>
      </c>
      <c r="C269" s="463" t="str">
        <f>BIBLE!O156</f>
        <v xml:space="preserve">Jamais / Rarement / Occasionnellement / Régulièrement / Souvent / Toujours / S.O. </v>
      </c>
      <c r="D269" s="1290">
        <f>BIBLE!L156</f>
        <v>2</v>
      </c>
      <c r="E269" s="20">
        <v>1</v>
      </c>
      <c r="F269" s="20"/>
      <c r="G269" s="20"/>
      <c r="H269" s="20"/>
      <c r="I269" s="20"/>
      <c r="J269" s="20"/>
      <c r="K269" s="20"/>
      <c r="L269" s="20"/>
      <c r="M269" s="20"/>
      <c r="N269" s="20"/>
      <c r="O269" s="20"/>
      <c r="P269" s="1561">
        <f>'TEST_pour PROTOTYPE'!D247</f>
        <v>0</v>
      </c>
      <c r="Q269" s="24">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477"/>
      <c r="AF269" s="38"/>
      <c r="AG269" s="38"/>
      <c r="AH269" s="22">
        <f>IF($Q269=$V269,$Q269*BIBLE!S156,IF(Test_Bible!$Q270=Test_Bible!$V269,Test_Bible!$Q270*BIBLE!S157,Test_Bible!$Q271*BIBLE!S158))</f>
        <v>0</v>
      </c>
      <c r="AI269" s="22">
        <f>IF($Q269=$V269,$Q269*BIBLE!T156,IF(Test_Bible!$Q270=Test_Bible!$V269,Test_Bible!$Q270*BIBLE!T157,Test_Bible!$Q271*BIBLE!T158))</f>
        <v>0</v>
      </c>
      <c r="AJ269" s="22">
        <f>IF($Q269=$V269,$Q269*BIBLE!U156,IF(Test_Bible!$Q270=Test_Bible!$V269,Test_Bible!$Q270*BIBLE!U157,Test_Bible!$Q271*BIBLE!U158))</f>
        <v>0</v>
      </c>
      <c r="AK269" s="683">
        <f>IF($Q269=$V269,$Q269*BIBLE!W152,IF(Test_Bible!$Q270=Test_Bible!$V269,Test_Bible!$Q270*BIBLE!W153,Test_Bible!$Q271*BIBLE!W154))</f>
        <v>0</v>
      </c>
      <c r="AL269" s="683">
        <f>IF($Q269=$V269,$Q269*BIBLE!X152,IF(Test_Bible!$Q270=Test_Bible!$V269,Test_Bible!$Q270*BIBLE!X153,Test_Bible!$Q271*BIBLE!X154))</f>
        <v>0</v>
      </c>
      <c r="AM269" s="683">
        <f>IF($Q269=$V269,$Q269*BIBLE!Y152,IF(Test_Bible!$Q270=Test_Bible!$V269,Test_Bible!$Q270*BIBLE!Y153,Test_Bible!$Q271*BIBLE!Y154))</f>
        <v>0</v>
      </c>
      <c r="AN269" s="683">
        <f>IF($Q269=$V269,$Q269*BIBLE!Z152,IF(Test_Bible!$Q270=Test_Bible!$V269,Test_Bible!$Q270*BIBLE!Z153,Test_Bible!$Q271*BIBLE!Z154))</f>
        <v>0</v>
      </c>
      <c r="AO269" s="683">
        <f>IF($Q269=$V269,$Q269*BIBLE!AA152,IF(Test_Bible!$Q270=Test_Bible!$V269,Test_Bible!$Q270*BIBLE!AA153,Test_Bible!$Q271*BIBLE!AA154))</f>
        <v>0</v>
      </c>
      <c r="AP269" s="683">
        <f>IF($Q269=$V269,$Q269*BIBLE!AB152,IF(Test_Bible!$Q270=Test_Bible!$V269,Test_Bible!$Q270*BIBLE!AB153,Test_Bible!$Q271*BIBLE!AB154))</f>
        <v>0</v>
      </c>
      <c r="AQ269" s="683">
        <f>IF($Q269=$V269,$Q269*BIBLE!AC152,IF(Test_Bible!$Q270=Test_Bible!$V269,Test_Bible!$Q270*BIBLE!AC153,Test_Bible!$Q271*BIBLE!AC154))</f>
        <v>0</v>
      </c>
      <c r="AR269" s="683">
        <f>IF($Q269=$V269,$Q269*BIBLE!AD152,IF(Test_Bible!$Q270=Test_Bible!$V269,Test_Bible!$Q270*BIBLE!AD153,Test_Bible!$Q271*BIBLE!AD154))</f>
        <v>0</v>
      </c>
      <c r="AS269" s="6">
        <f>Q269</f>
        <v>0</v>
      </c>
      <c r="AT269" s="273"/>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x14ac:dyDescent="0.2">
      <c r="A270" s="1199" t="str">
        <f>BIBLE!E157</f>
        <v>E04a</v>
      </c>
      <c r="B270" s="134" t="str">
        <f>IF(P269&gt;=R269,BIBLE!F157,"")</f>
        <v/>
      </c>
      <c r="C270" s="463" t="str">
        <f>BIBLE!O157</f>
        <v xml:space="preserve">Jamais / Rarement / Occasionnellement / Régulièrement / Souvent / Toujours / S.O. </v>
      </c>
      <c r="D270" s="1290">
        <f>BIBLE!L157</f>
        <v>3</v>
      </c>
      <c r="E270" s="20"/>
      <c r="F270" s="20"/>
      <c r="G270" s="20"/>
      <c r="H270" s="20"/>
      <c r="I270" s="20"/>
      <c r="J270" s="20"/>
      <c r="K270" s="52"/>
      <c r="L270" s="20"/>
      <c r="M270" s="20"/>
      <c r="N270" s="20"/>
      <c r="O270" s="20"/>
      <c r="P270" s="1561">
        <f>'TEST_pour PROTOTYPE'!D248</f>
        <v>0</v>
      </c>
      <c r="Q270" s="24">
        <f t="shared" si="98"/>
        <v>0</v>
      </c>
      <c r="R270" s="8">
        <f>IF(BIBLE!K157=0,"",BIBLE!K157)</f>
        <v>4</v>
      </c>
      <c r="V270" s="8"/>
      <c r="AE270" s="477"/>
      <c r="AF270" s="38"/>
      <c r="AG270" s="38"/>
      <c r="AH270" s="69"/>
      <c r="AI270" s="69"/>
      <c r="AJ270" s="69"/>
      <c r="AK270" s="683"/>
      <c r="AL270" s="683"/>
      <c r="AM270" s="683"/>
      <c r="AN270" s="683"/>
      <c r="AO270" s="683"/>
      <c r="AP270" s="683"/>
      <c r="AQ270" s="683"/>
      <c r="AR270" s="683"/>
      <c r="AS270" s="6">
        <f>Q270</f>
        <v>0</v>
      </c>
      <c r="AT270" s="273"/>
      <c r="AU270" s="6">
        <f t="shared" si="105"/>
        <v>0</v>
      </c>
      <c r="AV270" s="6">
        <f t="shared" si="106"/>
        <v>0</v>
      </c>
      <c r="AW270" s="6">
        <f t="shared" si="107"/>
        <v>0</v>
      </c>
      <c r="AX270" s="6">
        <f t="shared" si="108"/>
        <v>0</v>
      </c>
      <c r="AY270" s="6">
        <f t="shared" si="109"/>
        <v>0</v>
      </c>
      <c r="AZ270" s="6">
        <f t="shared" si="110"/>
        <v>0</v>
      </c>
      <c r="BB270" s="17" t="s">
        <v>447</v>
      </c>
    </row>
    <row r="271" spans="1:60" s="7" customFormat="1" ht="62" customHeight="1" x14ac:dyDescent="0.2">
      <c r="A271" s="1199" t="str">
        <f>BIBLE!E158</f>
        <v>E04a1</v>
      </c>
      <c r="B271" s="134" t="str">
        <f>IF(P270&gt;=R270,BIBLE!F158,"")</f>
        <v/>
      </c>
      <c r="C271" s="463" t="str">
        <f>BIBLE!O158</f>
        <v xml:space="preserve">Jamais / Rarement / Occasionnellement / Régulièrement / Souvent / Toujours / S.O. </v>
      </c>
      <c r="D271" s="1290">
        <f>BIBLE!L158</f>
        <v>3</v>
      </c>
      <c r="E271" s="20"/>
      <c r="F271" s="20"/>
      <c r="G271" s="20"/>
      <c r="H271" s="20"/>
      <c r="I271" s="20"/>
      <c r="J271" s="20"/>
      <c r="K271" s="20"/>
      <c r="L271" s="20"/>
      <c r="M271" s="20"/>
      <c r="N271" s="20"/>
      <c r="O271" s="20"/>
      <c r="P271" s="1561">
        <f>'TEST_pour PROTOTYPE'!D249</f>
        <v>0</v>
      </c>
      <c r="Q271" s="24">
        <f>P271*D271</f>
        <v>0</v>
      </c>
      <c r="R271" s="8" t="str">
        <f>IF(BIBLE!K158=0,"",BIBLE!K158)</f>
        <v/>
      </c>
      <c r="S271" s="41"/>
      <c r="T271" s="41"/>
      <c r="U271" s="41"/>
      <c r="V271" s="8"/>
      <c r="AE271" s="477"/>
      <c r="AF271" s="38"/>
      <c r="AG271" s="38"/>
      <c r="AH271" s="69"/>
      <c r="AI271" s="69"/>
      <c r="AJ271" s="69"/>
      <c r="AK271" s="683"/>
      <c r="AL271" s="683"/>
      <c r="AM271" s="683"/>
      <c r="AN271" s="683"/>
      <c r="AO271" s="683"/>
      <c r="AP271" s="683"/>
      <c r="AQ271" s="683"/>
      <c r="AR271" s="683"/>
      <c r="AS271" s="6">
        <f>Q271</f>
        <v>0</v>
      </c>
      <c r="AT271" s="273"/>
      <c r="AU271" s="6">
        <f t="shared" si="105"/>
        <v>0</v>
      </c>
      <c r="AV271" s="6">
        <f t="shared" si="106"/>
        <v>0</v>
      </c>
      <c r="AW271" s="6">
        <f t="shared" si="107"/>
        <v>0</v>
      </c>
      <c r="AX271" s="6">
        <f t="shared" si="108"/>
        <v>0</v>
      </c>
      <c r="AY271" s="6">
        <f t="shared" si="109"/>
        <v>0</v>
      </c>
      <c r="AZ271" s="6">
        <f t="shared" si="110"/>
        <v>0</v>
      </c>
      <c r="BH271" s="17"/>
    </row>
    <row r="272" spans="1:60" s="7" customFormat="1" ht="77" customHeight="1" x14ac:dyDescent="0.2">
      <c r="A272" s="1199" t="str">
        <f>BIBLE!E159</f>
        <v>E05</v>
      </c>
      <c r="B272" s="467" t="str">
        <f>BIBLE!F159</f>
        <v>Votre enfant s’exprime avec des expressions ou des paroles empruntées à l’autre parent.</v>
      </c>
      <c r="C272" s="463" t="str">
        <f>BIBLE!O159</f>
        <v xml:space="preserve">Jamais / Rarement / Occasionnellement / Régulièrement / Souvent / Toujours / S.O. </v>
      </c>
      <c r="D272" s="1290">
        <f>BIBLE!L159</f>
        <v>2</v>
      </c>
      <c r="E272" s="20"/>
      <c r="F272" s="20"/>
      <c r="G272" s="20"/>
      <c r="H272" s="20"/>
      <c r="I272" s="20"/>
      <c r="J272" s="20">
        <v>1</v>
      </c>
      <c r="K272" s="52"/>
      <c r="L272" s="20"/>
      <c r="M272" s="20"/>
      <c r="N272" s="20"/>
      <c r="O272" s="20"/>
      <c r="P272" s="1561">
        <f>'TEST_pour PROTOTYPE'!D250</f>
        <v>2</v>
      </c>
      <c r="Q272" s="24">
        <f t="shared" si="98"/>
        <v>4</v>
      </c>
      <c r="R272" s="8">
        <f>IF(BIBLE!K159=0,"",BIBLE!K159)</f>
        <v>4</v>
      </c>
      <c r="S272" s="40"/>
      <c r="T272" s="40"/>
      <c r="U272" s="40"/>
      <c r="V272" s="6">
        <f>Q272</f>
        <v>4</v>
      </c>
      <c r="W272" s="273"/>
      <c r="X272" s="6">
        <f t="shared" ref="X272:AC272" si="111">IF($Q272&gt;0,X$109*$D272,0)</f>
        <v>0</v>
      </c>
      <c r="Y272" s="6">
        <f t="shared" si="111"/>
        <v>2</v>
      </c>
      <c r="Z272" s="6">
        <f t="shared" si="111"/>
        <v>4</v>
      </c>
      <c r="AA272" s="6">
        <f t="shared" si="111"/>
        <v>8</v>
      </c>
      <c r="AB272" s="6">
        <f t="shared" si="111"/>
        <v>14</v>
      </c>
      <c r="AC272" s="6">
        <f t="shared" si="111"/>
        <v>20</v>
      </c>
      <c r="AE272" s="477"/>
      <c r="AF272" s="38"/>
      <c r="AG272" s="38"/>
      <c r="AH272" s="22">
        <f>$V272*BIBLE!S159</f>
        <v>0</v>
      </c>
      <c r="AI272" s="22">
        <f>$V272*BIBLE!T159</f>
        <v>0</v>
      </c>
      <c r="AJ272" s="22">
        <f>$V272*BIBLE!U159</f>
        <v>4</v>
      </c>
      <c r="AK272" s="1236">
        <f>$V272*BIBLE!W159</f>
        <v>4</v>
      </c>
      <c r="AL272" s="1236">
        <f>$V272*BIBLE!X159</f>
        <v>0</v>
      </c>
      <c r="AM272" s="1236">
        <f>$V272*BIBLE!Y159</f>
        <v>0</v>
      </c>
      <c r="AN272" s="1236">
        <f>$V272*BIBLE!Z159</f>
        <v>0</v>
      </c>
      <c r="AO272" s="1236">
        <f>$V272*BIBLE!AA159</f>
        <v>0</v>
      </c>
      <c r="AP272" s="1236">
        <f>$V272*BIBLE!AB159</f>
        <v>0</v>
      </c>
      <c r="AQ272" s="1236">
        <f>$V272*BIBLE!AC159</f>
        <v>0</v>
      </c>
      <c r="AR272" s="1236">
        <f>$V272*BIBLE!AD159</f>
        <v>0</v>
      </c>
    </row>
    <row r="273" spans="1:60" s="7" customFormat="1" ht="40" customHeight="1" x14ac:dyDescent="0.2">
      <c r="A273" s="1199" t="str">
        <f>BIBLE!E160</f>
        <v>E05a</v>
      </c>
      <c r="B273" s="134" t="str">
        <f>IF(P272&gt;=R272,BIBLE!F160,"")</f>
        <v/>
      </c>
      <c r="C273" s="463"/>
      <c r="D273" s="1290"/>
      <c r="E273" s="20"/>
      <c r="F273" s="20"/>
      <c r="G273" s="20"/>
      <c r="H273" s="20"/>
      <c r="I273" s="20"/>
      <c r="J273" s="20"/>
      <c r="K273" s="52"/>
      <c r="L273" s="20"/>
      <c r="M273" s="20"/>
      <c r="N273" s="20"/>
      <c r="O273" s="1559" t="s">
        <v>1296</v>
      </c>
      <c r="P273" s="23">
        <f>SUM(P274:P277)</f>
        <v>0</v>
      </c>
      <c r="Q273" s="24"/>
      <c r="R273" s="8" t="str">
        <f>IF(BIBLE!K160=0,"",BIBLE!K160)</f>
        <v/>
      </c>
      <c r="S273" s="40"/>
      <c r="T273" s="40"/>
      <c r="U273" s="40"/>
      <c r="V273" s="6"/>
      <c r="W273" s="8"/>
      <c r="X273" s="6"/>
      <c r="Y273" s="6"/>
      <c r="Z273" s="6"/>
      <c r="AA273" s="6"/>
      <c r="AB273" s="6"/>
      <c r="AC273" s="6"/>
      <c r="AE273" s="477"/>
      <c r="AF273" s="38"/>
      <c r="AG273" s="38"/>
      <c r="AH273" s="69"/>
      <c r="AI273" s="69"/>
      <c r="AJ273" s="69"/>
      <c r="AK273" s="683"/>
      <c r="AL273" s="683"/>
      <c r="AM273" s="683"/>
      <c r="AN273" s="683"/>
      <c r="AO273" s="683"/>
      <c r="AP273" s="683"/>
      <c r="AQ273" s="683"/>
      <c r="AR273" s="683"/>
    </row>
    <row r="274" spans="1:60" s="7" customFormat="1" ht="33" customHeight="1" x14ac:dyDescent="0.2">
      <c r="A274" s="1199"/>
      <c r="B274" s="134" t="str">
        <f>IF(P272&gt;=R272,"Au retour d'un séjour (garde) de l'autre parent","")</f>
        <v/>
      </c>
      <c r="C274" s="2515"/>
      <c r="D274" s="1459">
        <v>1</v>
      </c>
      <c r="E274" s="1477">
        <f>'TEST_pour PROTOTYPE'!D251</f>
        <v>0</v>
      </c>
      <c r="F274" s="20"/>
      <c r="G274" s="20"/>
      <c r="H274" s="20"/>
      <c r="I274" s="20"/>
      <c r="J274" s="20"/>
      <c r="K274" s="52"/>
      <c r="L274" s="20"/>
      <c r="M274" s="20"/>
      <c r="N274" s="20"/>
      <c r="O274" s="20"/>
      <c r="P274" s="1472">
        <f>D274*E274</f>
        <v>0</v>
      </c>
      <c r="Q274" s="24"/>
      <c r="R274" s="8"/>
      <c r="S274" s="40"/>
      <c r="T274" s="40"/>
      <c r="U274" s="40"/>
      <c r="V274" s="6"/>
      <c r="W274" s="8"/>
      <c r="X274" s="6"/>
      <c r="Y274" s="6"/>
      <c r="Z274" s="6"/>
      <c r="AA274" s="6"/>
      <c r="AB274" s="6"/>
      <c r="AC274" s="6"/>
      <c r="AE274" s="477"/>
      <c r="AF274" s="38"/>
      <c r="AG274" s="38"/>
      <c r="AH274" s="69"/>
      <c r="AI274" s="69"/>
      <c r="AJ274" s="69"/>
      <c r="AK274" s="683"/>
      <c r="AL274" s="683"/>
      <c r="AM274" s="683"/>
      <c r="AN274" s="683"/>
      <c r="AO274" s="683"/>
      <c r="AP274" s="683"/>
      <c r="AQ274" s="683"/>
      <c r="AR274" s="683"/>
    </row>
    <row r="275" spans="1:60" s="7" customFormat="1" ht="33" customHeight="1" x14ac:dyDescent="0.2">
      <c r="A275" s="1199"/>
      <c r="B275" s="134" t="str">
        <f>IF(P272&gt;=R272,"Lorsque l'enfant est en présence de l'autre parent","")</f>
        <v/>
      </c>
      <c r="C275" s="2515"/>
      <c r="D275" s="1459">
        <v>2</v>
      </c>
      <c r="E275" s="1477">
        <f>'TEST_pour PROTOTYPE'!D252</f>
        <v>0</v>
      </c>
      <c r="F275" s="20"/>
      <c r="G275" s="20"/>
      <c r="H275" s="20"/>
      <c r="I275" s="20"/>
      <c r="J275" s="20"/>
      <c r="K275" s="52"/>
      <c r="L275" s="20"/>
      <c r="M275" s="20"/>
      <c r="N275" s="20"/>
      <c r="O275" s="20"/>
      <c r="P275" s="1472">
        <f t="shared" ref="P275:P277" si="112">D275*E275</f>
        <v>0</v>
      </c>
      <c r="Q275" s="24"/>
      <c r="R275" s="8"/>
      <c r="S275" s="40"/>
      <c r="T275" s="40"/>
      <c r="U275" s="40"/>
      <c r="V275" s="6"/>
      <c r="W275" s="8"/>
      <c r="X275" s="6"/>
      <c r="Y275" s="6"/>
      <c r="Z275" s="6"/>
      <c r="AA275" s="6"/>
      <c r="AB275" s="6"/>
      <c r="AC275" s="6"/>
      <c r="AE275" s="477"/>
      <c r="AF275" s="38"/>
      <c r="AG275" s="38"/>
      <c r="AH275" s="69"/>
      <c r="AI275" s="69"/>
      <c r="AJ275" s="69"/>
      <c r="AK275" s="683"/>
      <c r="AL275" s="683"/>
      <c r="AM275" s="683"/>
      <c r="AN275" s="683"/>
      <c r="AO275" s="683"/>
      <c r="AP275" s="683"/>
      <c r="AQ275" s="683"/>
      <c r="AR275" s="683"/>
    </row>
    <row r="276" spans="1:60" s="7" customFormat="1" ht="33" customHeight="1" x14ac:dyDescent="0.2">
      <c r="A276" s="1199"/>
      <c r="B276" s="134" t="str">
        <f>IF(P272&gt;=R272,"Lorsque mon enfant cherche à me convaincre de passer plus de temps chez l'autre parent ","")</f>
        <v/>
      </c>
      <c r="C276" s="2515"/>
      <c r="D276" s="1459">
        <v>3</v>
      </c>
      <c r="E276" s="1477">
        <f>'TEST_pour PROTOTYPE'!D253</f>
        <v>0</v>
      </c>
      <c r="F276" s="20"/>
      <c r="G276" s="20"/>
      <c r="H276" s="20"/>
      <c r="I276" s="20"/>
      <c r="J276" s="20"/>
      <c r="K276" s="52"/>
      <c r="L276" s="20"/>
      <c r="M276" s="20"/>
      <c r="N276" s="20"/>
      <c r="O276" s="20"/>
      <c r="P276" s="1472">
        <f t="shared" si="112"/>
        <v>0</v>
      </c>
      <c r="Q276" s="24"/>
      <c r="R276" s="8"/>
      <c r="S276" s="40"/>
      <c r="T276" s="40"/>
      <c r="U276" s="40"/>
      <c r="V276" s="6"/>
      <c r="W276" s="8"/>
      <c r="X276" s="6"/>
      <c r="Y276" s="6"/>
      <c r="Z276" s="6"/>
      <c r="AA276" s="6"/>
      <c r="AB276" s="6"/>
      <c r="AC276" s="6"/>
      <c r="AE276" s="477"/>
      <c r="AF276" s="38"/>
      <c r="AG276" s="38"/>
      <c r="AH276" s="69"/>
      <c r="AI276" s="69"/>
      <c r="AJ276" s="69"/>
      <c r="AK276" s="683"/>
      <c r="AL276" s="683"/>
      <c r="AM276" s="683"/>
      <c r="AN276" s="683"/>
      <c r="AO276" s="683"/>
      <c r="AP276" s="683"/>
      <c r="AQ276" s="683"/>
      <c r="AR276" s="683"/>
    </row>
    <row r="277" spans="1:60" s="7" customFormat="1" ht="33" customHeight="1" x14ac:dyDescent="0.2">
      <c r="A277" s="1199"/>
      <c r="B277" s="134" t="str">
        <f>IF(P272&gt;=R272,"Lorsque mon enfant me fait des reproches ","")</f>
        <v/>
      </c>
      <c r="C277" s="2515"/>
      <c r="D277" s="1459">
        <v>4</v>
      </c>
      <c r="E277" s="1477">
        <f>'TEST_pour PROTOTYPE'!D254</f>
        <v>0</v>
      </c>
      <c r="F277" s="20"/>
      <c r="G277" s="20"/>
      <c r="H277" s="20"/>
      <c r="I277" s="20"/>
      <c r="J277" s="20"/>
      <c r="K277" s="52"/>
      <c r="L277" s="20"/>
      <c r="M277" s="20"/>
      <c r="N277" s="20"/>
      <c r="O277" s="20"/>
      <c r="P277" s="1472">
        <f t="shared" si="112"/>
        <v>0</v>
      </c>
      <c r="Q277" s="24"/>
      <c r="R277" s="8"/>
      <c r="S277" s="40"/>
      <c r="T277" s="40"/>
      <c r="U277" s="40"/>
      <c r="V277" s="6"/>
      <c r="W277" s="8"/>
      <c r="X277" s="6"/>
      <c r="Y277" s="6"/>
      <c r="Z277" s="6"/>
      <c r="AA277" s="6"/>
      <c r="AB277" s="6"/>
      <c r="AC277" s="6"/>
      <c r="AE277" s="477"/>
      <c r="AF277" s="38"/>
      <c r="AG277" s="38"/>
      <c r="AH277" s="69"/>
      <c r="AI277" s="69"/>
      <c r="AJ277" s="69"/>
      <c r="AK277" s="683"/>
      <c r="AL277" s="683"/>
      <c r="AM277" s="683"/>
      <c r="AN277" s="683"/>
      <c r="AO277" s="683"/>
      <c r="AP277" s="683"/>
      <c r="AQ277" s="683"/>
      <c r="AR277" s="683"/>
    </row>
    <row r="278" spans="1:60" s="7" customFormat="1" ht="63" customHeight="1" x14ac:dyDescent="0.2">
      <c r="A278" s="1199" t="str">
        <f>BIBLE!E161</f>
        <v>E06</v>
      </c>
      <c r="B278" s="467" t="str">
        <f>BIBLE!F161</f>
        <v>Votre enfant vous accuse ou vous reproche d'avoir brisé ou abandonné la famille.</v>
      </c>
      <c r="C278" s="463" t="str">
        <f>BIBLE!O161</f>
        <v xml:space="preserve">Jamais / Rarement / Occasionnellement / Régulièrement / Souvent / Toujours / S.O. </v>
      </c>
      <c r="D278" s="1290">
        <f>IF(P27&gt;=3,BIBLE!M161,BIBLE!L161)</f>
        <v>1</v>
      </c>
      <c r="E278" s="20"/>
      <c r="F278" s="20"/>
      <c r="G278" s="20">
        <v>1</v>
      </c>
      <c r="H278" s="20"/>
      <c r="I278" s="20"/>
      <c r="J278" s="20"/>
      <c r="K278" s="52"/>
      <c r="L278" s="20"/>
      <c r="M278" s="20"/>
      <c r="N278" s="20"/>
      <c r="O278" s="20"/>
      <c r="P278" s="1561">
        <f>'TEST_pour PROTOTYPE'!D255</f>
        <v>1</v>
      </c>
      <c r="Q278" s="24">
        <f>P278*D278</f>
        <v>1</v>
      </c>
      <c r="R278" s="8">
        <f>IF(BIBLE!K161=0,"",BIBLE!K161)</f>
        <v>4</v>
      </c>
      <c r="S278" s="40"/>
      <c r="T278" s="40"/>
      <c r="U278" s="40"/>
      <c r="V278" s="6">
        <f>MAX(AS278:AS280)</f>
        <v>1</v>
      </c>
      <c r="W278" s="8"/>
      <c r="X278" s="6">
        <f t="shared" ref="X278:AB278" si="113">MAX(AU278:AU280)</f>
        <v>0</v>
      </c>
      <c r="Y278" s="6">
        <f t="shared" si="113"/>
        <v>1</v>
      </c>
      <c r="Z278" s="6">
        <f t="shared" si="113"/>
        <v>2</v>
      </c>
      <c r="AA278" s="6">
        <f t="shared" si="113"/>
        <v>4</v>
      </c>
      <c r="AB278" s="6">
        <f t="shared" si="113"/>
        <v>7</v>
      </c>
      <c r="AC278" s="6">
        <f>MAX(AZ278:AZ280)</f>
        <v>10</v>
      </c>
      <c r="AE278" s="477"/>
      <c r="AF278" s="38"/>
      <c r="AG278" s="38"/>
      <c r="AH278" s="22">
        <f>IF($Q278=$V278,$Q278*BIBLE!S161,IF(Test_Bible!$Q279=Test_Bible!$V278,Test_Bible!$Q279*BIBLE!S162,Test_Bible!$Q280*BIBLE!S163))</f>
        <v>0</v>
      </c>
      <c r="AI278" s="22">
        <f>IF($Q278=$V278,$Q278*BIBLE!T161,IF(Test_Bible!$Q279=Test_Bible!$V278,Test_Bible!$Q279*BIBLE!T162,Test_Bible!$Q280*BIBLE!T163))</f>
        <v>0.5</v>
      </c>
      <c r="AJ278" s="22">
        <f>IF($Q278=$V278,$Q278*BIBLE!U161,IF(Test_Bible!$Q279=Test_Bible!$V278,Test_Bible!$Q279*BIBLE!U162,Test_Bible!$Q280*BIBLE!U163))</f>
        <v>0.5</v>
      </c>
      <c r="AK278" s="683">
        <f>IF($Q278=$V278,$Q278*BIBLE!W161,IF(Test_Bible!$Q279=Test_Bible!$V278,Test_Bible!$Q279*BIBLE!W162,Test_Bible!$Q280*BIBLE!W163))</f>
        <v>0</v>
      </c>
      <c r="AL278" s="683">
        <f>IF($Q278=$V278,$Q278*BIBLE!X161,IF(Test_Bible!$Q279=Test_Bible!$V278,Test_Bible!$Q279*BIBLE!X162,Test_Bible!$Q280*BIBLE!X163))</f>
        <v>1</v>
      </c>
      <c r="AM278" s="683">
        <f>IF($Q278=$V278,$Q278*BIBLE!Y161,IF(Test_Bible!$Q279=Test_Bible!$V278,Test_Bible!$Q279*BIBLE!Y162,Test_Bible!$Q280*BIBLE!Y163))</f>
        <v>0</v>
      </c>
      <c r="AN278" s="683">
        <f>IF($Q278=$V278,$Q278*BIBLE!Z161,IF(Test_Bible!$Q279=Test_Bible!$V278,Test_Bible!$Q279*BIBLE!Z162,Test_Bible!$Q280*BIBLE!Z163))</f>
        <v>0</v>
      </c>
      <c r="AO278" s="683">
        <f>IF($Q278=$V278,$Q278*BIBLE!AA161,IF(Test_Bible!$Q279=Test_Bible!$V278,Test_Bible!$Q279*BIBLE!AA162,Test_Bible!$Q280*BIBLE!AA163))</f>
        <v>0</v>
      </c>
      <c r="AP278" s="683">
        <f>IF($Q278=$V278,$Q278*BIBLE!AB161,IF(Test_Bible!$Q279=Test_Bible!$V278,Test_Bible!$Q279*BIBLE!AB162,Test_Bible!$Q280*BIBLE!AB163))</f>
        <v>0</v>
      </c>
      <c r="AQ278" s="683">
        <f>IF($Q278=$V278,$Q278*BIBLE!AC161,IF(Test_Bible!$Q279=Test_Bible!$V278,Test_Bible!$Q279*BIBLE!AC162,Test_Bible!$Q280*BIBLE!AC163))</f>
        <v>0</v>
      </c>
      <c r="AR278" s="683">
        <f>IF($Q278=$V278,$Q278*BIBLE!AD161,IF(Test_Bible!$Q279=Test_Bible!$V278,Test_Bible!$Q279*BIBLE!AD162,Test_Bible!$Q280*BIBLE!AD163))</f>
        <v>0</v>
      </c>
      <c r="AS278" s="6">
        <f>Q278</f>
        <v>1</v>
      </c>
      <c r="AT278" s="273"/>
      <c r="AU278" s="6">
        <f t="shared" ref="AU278:AZ280" si="114">IF($Q278&gt;0,X$109*$D278,0)</f>
        <v>0</v>
      </c>
      <c r="AV278" s="6">
        <f t="shared" si="114"/>
        <v>1</v>
      </c>
      <c r="AW278" s="6">
        <f t="shared" si="114"/>
        <v>2</v>
      </c>
      <c r="AX278" s="6">
        <f t="shared" si="114"/>
        <v>4</v>
      </c>
      <c r="AY278" s="6">
        <f t="shared" si="114"/>
        <v>7</v>
      </c>
      <c r="AZ278" s="6">
        <f t="shared" si="114"/>
        <v>10</v>
      </c>
    </row>
    <row r="279" spans="1:60" s="7" customFormat="1" ht="63" customHeight="1" x14ac:dyDescent="0.2">
      <c r="A279" s="1199" t="str">
        <f>BIBLE!E162</f>
        <v>E06a</v>
      </c>
      <c r="B279" s="134" t="str">
        <f>IF(OR(P278&gt;=R278),BIBLE!F162,"")</f>
        <v/>
      </c>
      <c r="C279" s="463" t="str">
        <f>BIBLE!O162</f>
        <v>Nulle / Très faible / Faible / Moyenne / Élevée / Très élevée / S.O.</v>
      </c>
      <c r="D279" s="1290">
        <f>BIBLE!L162</f>
        <v>3</v>
      </c>
      <c r="E279" s="20"/>
      <c r="F279" s="20"/>
      <c r="G279" s="20"/>
      <c r="H279" s="20"/>
      <c r="I279" s="20"/>
      <c r="J279" s="20"/>
      <c r="K279" s="20"/>
      <c r="L279" s="20"/>
      <c r="M279" s="20"/>
      <c r="N279" s="20"/>
      <c r="O279" s="20"/>
      <c r="P279" s="1561">
        <f>'TEST_pour PROTOTYPE'!D256</f>
        <v>0</v>
      </c>
      <c r="Q279" s="24">
        <f>P279*D279</f>
        <v>0</v>
      </c>
      <c r="R279" s="8">
        <f>IF(BIBLE!K162=0,"",BIBLE!K162)</f>
        <v>4</v>
      </c>
      <c r="S279" s="40"/>
      <c r="T279" s="40"/>
      <c r="U279" s="40"/>
      <c r="V279" s="8"/>
      <c r="AE279" s="477"/>
      <c r="AF279" s="38"/>
      <c r="AG279" s="38"/>
      <c r="AH279" s="69"/>
      <c r="AI279" s="69"/>
      <c r="AJ279" s="69"/>
      <c r="AK279" s="683"/>
      <c r="AL279" s="683"/>
      <c r="AM279" s="683"/>
      <c r="AN279" s="683"/>
      <c r="AO279" s="683"/>
      <c r="AP279" s="683"/>
      <c r="AQ279" s="683"/>
      <c r="AR279" s="683"/>
      <c r="AS279" s="6">
        <f>Q279</f>
        <v>0</v>
      </c>
      <c r="AT279" s="273"/>
      <c r="AU279" s="6">
        <f t="shared" si="114"/>
        <v>0</v>
      </c>
      <c r="AV279" s="6">
        <f t="shared" si="114"/>
        <v>0</v>
      </c>
      <c r="AW279" s="6">
        <f t="shared" si="114"/>
        <v>0</v>
      </c>
      <c r="AX279" s="6">
        <f t="shared" si="114"/>
        <v>0</v>
      </c>
      <c r="AY279" s="6">
        <f t="shared" si="114"/>
        <v>0</v>
      </c>
      <c r="AZ279" s="6">
        <f t="shared" si="114"/>
        <v>0</v>
      </c>
      <c r="BB279" s="17" t="s">
        <v>447</v>
      </c>
    </row>
    <row r="280" spans="1:60" s="7" customFormat="1" ht="63" customHeight="1" x14ac:dyDescent="0.2">
      <c r="A280" s="1199" t="str">
        <f>BIBLE!E163</f>
        <v>E06a1</v>
      </c>
      <c r="B280" s="134" t="str">
        <f>IF(P279&gt;=R279,BIBLE!F163,"")</f>
        <v/>
      </c>
      <c r="C280" s="463" t="str">
        <f>BIBLE!O163</f>
        <v xml:space="preserve">Jamais / Rarement / Occasionnellement / Régulièrement / Souvent / Toujours / S.O. </v>
      </c>
      <c r="D280" s="1290">
        <f>BIBLE!L163</f>
        <v>3</v>
      </c>
      <c r="E280" s="20"/>
      <c r="F280" s="20"/>
      <c r="G280" s="20"/>
      <c r="H280" s="20"/>
      <c r="I280" s="20"/>
      <c r="J280" s="20"/>
      <c r="K280" s="20"/>
      <c r="L280" s="20"/>
      <c r="M280" s="20"/>
      <c r="N280" s="20"/>
      <c r="O280" s="20"/>
      <c r="P280" s="1561">
        <f>'TEST_pour PROTOTYPE'!D257</f>
        <v>0</v>
      </c>
      <c r="Q280" s="24">
        <f>P280*D280</f>
        <v>0</v>
      </c>
      <c r="R280" s="8" t="str">
        <f>IF(BIBLE!K163=0,"",BIBLE!K163)</f>
        <v/>
      </c>
      <c r="S280" s="40"/>
      <c r="T280" s="40"/>
      <c r="U280" s="40"/>
      <c r="V280" s="8"/>
      <c r="AE280" s="477"/>
      <c r="AF280" s="38"/>
      <c r="AG280" s="38"/>
      <c r="AH280" s="69"/>
      <c r="AI280" s="69"/>
      <c r="AJ280" s="69"/>
      <c r="AK280" s="683"/>
      <c r="AL280" s="683"/>
      <c r="AM280" s="683"/>
      <c r="AN280" s="683"/>
      <c r="AO280" s="683"/>
      <c r="AP280" s="683"/>
      <c r="AQ280" s="683"/>
      <c r="AR280" s="683"/>
      <c r="AS280" s="6">
        <f>Q280</f>
        <v>0</v>
      </c>
      <c r="AT280" s="273"/>
      <c r="AU280" s="6">
        <f t="shared" si="114"/>
        <v>0</v>
      </c>
      <c r="AV280" s="6">
        <f t="shared" si="114"/>
        <v>0</v>
      </c>
      <c r="AW280" s="6">
        <f t="shared" si="114"/>
        <v>0</v>
      </c>
      <c r="AX280" s="6">
        <f t="shared" si="114"/>
        <v>0</v>
      </c>
      <c r="AY280" s="6">
        <f t="shared" si="114"/>
        <v>0</v>
      </c>
      <c r="AZ280" s="6">
        <f t="shared" si="114"/>
        <v>0</v>
      </c>
      <c r="BH280" s="17"/>
    </row>
    <row r="281" spans="1:60" s="7" customFormat="1" ht="63" customHeight="1" x14ac:dyDescent="0.2">
      <c r="A281" s="1199" t="str">
        <f>BIBLE!E164</f>
        <v>E07</v>
      </c>
      <c r="B281" s="467" t="str">
        <f>BIBLE!F164</f>
        <v>Votre enfant se sent coupable de passer du temps avec vous car cela pourrait indisposer, contrarier ou faire de la peine à l'autre parent.</v>
      </c>
      <c r="C281" s="463" t="str">
        <f>BIBLE!O164</f>
        <v>Nulle / Très faible / Faible / Moyenne / Élevée / Très élevée / S.O.</v>
      </c>
      <c r="D281" s="1290">
        <f>BIBLE!L164</f>
        <v>1</v>
      </c>
      <c r="E281" s="20"/>
      <c r="F281" s="20"/>
      <c r="G281" s="20"/>
      <c r="H281" s="20"/>
      <c r="I281" s="20"/>
      <c r="J281" s="20">
        <v>1</v>
      </c>
      <c r="K281" s="20"/>
      <c r="L281" s="20"/>
      <c r="M281" s="20"/>
      <c r="N281" s="20"/>
      <c r="O281" s="20"/>
      <c r="P281" s="1561">
        <f>'TEST_pour PROTOTYPE'!D258</f>
        <v>7</v>
      </c>
      <c r="Q281" s="24">
        <f>P281*D281</f>
        <v>7</v>
      </c>
      <c r="R281" s="8" t="str">
        <f>IF(BIBLE!K164=0,"",BIBLE!K164)</f>
        <v/>
      </c>
      <c r="S281" s="40"/>
      <c r="T281" s="40"/>
      <c r="U281" s="40"/>
      <c r="V281" s="6">
        <f t="shared" ref="V281:V285" si="115">Q281</f>
        <v>7</v>
      </c>
      <c r="W281" s="273"/>
      <c r="X281" s="6">
        <f t="shared" ref="X281:AC285" si="116">IF($Q281&gt;0,X$109*$D281,0)</f>
        <v>0</v>
      </c>
      <c r="Y281" s="6">
        <f t="shared" si="116"/>
        <v>1</v>
      </c>
      <c r="Z281" s="6">
        <f t="shared" si="116"/>
        <v>2</v>
      </c>
      <c r="AA281" s="6">
        <f t="shared" si="116"/>
        <v>4</v>
      </c>
      <c r="AB281" s="6">
        <f t="shared" si="116"/>
        <v>7</v>
      </c>
      <c r="AC281" s="6">
        <f t="shared" si="116"/>
        <v>10</v>
      </c>
      <c r="AE281" s="477"/>
      <c r="AF281" s="38"/>
      <c r="AG281" s="38"/>
      <c r="AH281" s="22">
        <f>$V281*BIBLE!S164</f>
        <v>0</v>
      </c>
      <c r="AI281" s="22">
        <f>$V281*BIBLE!T164</f>
        <v>7</v>
      </c>
      <c r="AJ281" s="22">
        <f>$V281*BIBLE!U164</f>
        <v>0</v>
      </c>
      <c r="AK281" s="1236">
        <f>$V281*BIBLE!W164</f>
        <v>0</v>
      </c>
      <c r="AL281" s="1236">
        <f>$V281*BIBLE!X164</f>
        <v>0</v>
      </c>
      <c r="AM281" s="1236">
        <f>$V281*BIBLE!Y164</f>
        <v>7</v>
      </c>
      <c r="AN281" s="1236">
        <f>$V281*BIBLE!Z164</f>
        <v>0</v>
      </c>
      <c r="AO281" s="1236">
        <f>$V281*BIBLE!AA164</f>
        <v>0</v>
      </c>
      <c r="AP281" s="1236">
        <f>$V281*BIBLE!AB164</f>
        <v>0</v>
      </c>
      <c r="AQ281" s="1236">
        <f>$V281*BIBLE!AC164</f>
        <v>0</v>
      </c>
      <c r="AR281" s="1236">
        <f>$V281*BIBLE!AD164</f>
        <v>0</v>
      </c>
    </row>
    <row r="282" spans="1:60" s="7" customFormat="1" ht="63" customHeight="1" x14ac:dyDescent="0.2">
      <c r="A282" s="1199" t="str">
        <f>BIBLE!E165</f>
        <v>E09</v>
      </c>
      <c r="B282" s="467" t="str">
        <f>IF(OR($P$53&gt;=$R$53,P68&gt;=2),BIBLE!F165,"")</f>
        <v xml:space="preserve">Dans quelle mesure diriez-vous que votre enfant vous tient responsable de la peine ou de la frustration de son autre parent ? </v>
      </c>
      <c r="C282" s="463" t="str">
        <f>BIBLE!O165</f>
        <v>Pas du tout / Très peu / Un peu / Moyennement / Grandement / Totalement / S.O.</v>
      </c>
      <c r="D282" s="1290">
        <f>BIBLE!L165</f>
        <v>1</v>
      </c>
      <c r="E282" s="20"/>
      <c r="F282" s="20"/>
      <c r="G282" s="20"/>
      <c r="H282" s="20">
        <v>1</v>
      </c>
      <c r="I282" s="20"/>
      <c r="J282" s="20"/>
      <c r="K282" s="20"/>
      <c r="L282" s="20"/>
      <c r="M282" s="20"/>
      <c r="N282" s="20"/>
      <c r="O282" s="20"/>
      <c r="P282" s="1561">
        <f>'TEST_pour PROTOTYPE'!D259</f>
        <v>2</v>
      </c>
      <c r="Q282" s="24">
        <f t="shared" ref="Q282:Q312" si="117">P282*D282</f>
        <v>2</v>
      </c>
      <c r="R282" s="8" t="str">
        <f>IF(BIBLE!K165=0,"",BIBLE!K165)</f>
        <v/>
      </c>
      <c r="S282" s="40"/>
      <c r="T282" s="40"/>
      <c r="U282" s="40"/>
      <c r="V282" s="6">
        <f>Q282</f>
        <v>2</v>
      </c>
      <c r="W282" s="273"/>
      <c r="X282" s="6">
        <f t="shared" si="116"/>
        <v>0</v>
      </c>
      <c r="Y282" s="6">
        <f t="shared" si="116"/>
        <v>1</v>
      </c>
      <c r="Z282" s="6">
        <f t="shared" si="116"/>
        <v>2</v>
      </c>
      <c r="AA282" s="6">
        <f t="shared" si="116"/>
        <v>4</v>
      </c>
      <c r="AB282" s="6">
        <f t="shared" si="116"/>
        <v>7</v>
      </c>
      <c r="AC282" s="6">
        <f t="shared" si="116"/>
        <v>10</v>
      </c>
      <c r="AE282" s="477"/>
      <c r="AF282" s="38"/>
      <c r="AG282" s="38"/>
      <c r="AH282" s="22">
        <f>$V282*BIBLE!S165</f>
        <v>0</v>
      </c>
      <c r="AI282" s="22">
        <f>$V282*BIBLE!T165</f>
        <v>1</v>
      </c>
      <c r="AJ282" s="22">
        <f>$V282*BIBLE!U165</f>
        <v>1</v>
      </c>
      <c r="AK282" s="1236">
        <f>$V282*BIBLE!W165</f>
        <v>0</v>
      </c>
      <c r="AL282" s="1236">
        <f>$V282*BIBLE!X165</f>
        <v>0</v>
      </c>
      <c r="AM282" s="1236">
        <f>$V282*BIBLE!Y165</f>
        <v>2</v>
      </c>
      <c r="AN282" s="1236">
        <f>$V282*BIBLE!Z165</f>
        <v>0</v>
      </c>
      <c r="AO282" s="1236">
        <f>$V282*BIBLE!AA165</f>
        <v>0</v>
      </c>
      <c r="AP282" s="1236">
        <f>$V282*BIBLE!AB165</f>
        <v>0</v>
      </c>
      <c r="AQ282" s="1236">
        <f>$V282*BIBLE!AC165</f>
        <v>0</v>
      </c>
      <c r="AR282" s="1236">
        <f>$V282*BIBLE!AD165</f>
        <v>0</v>
      </c>
    </row>
    <row r="283" spans="1:60" s="7" customFormat="1" ht="63" customHeight="1" x14ac:dyDescent="0.2">
      <c r="A283" s="1199" t="str">
        <f>BIBLE!E166</f>
        <v>E10</v>
      </c>
      <c r="B283" s="467" t="str">
        <f>BIBLE!F166</f>
        <v>Votre enfant cherche à vous convaincre des qualités de l’autre parent.</v>
      </c>
      <c r="C283" s="463" t="str">
        <f>BIBLE!O166</f>
        <v xml:space="preserve">Jamais / Rarement / Occasionnellement / Régulièrement / Souvent / Toujours / S.O. </v>
      </c>
      <c r="D283" s="1290">
        <f>BIBLE!L166</f>
        <v>2</v>
      </c>
      <c r="E283" s="20"/>
      <c r="F283" s="20"/>
      <c r="G283" s="20"/>
      <c r="H283" s="20">
        <v>1</v>
      </c>
      <c r="I283" s="20"/>
      <c r="J283" s="20"/>
      <c r="K283" s="20"/>
      <c r="L283" s="20"/>
      <c r="M283" s="20"/>
      <c r="N283" s="20"/>
      <c r="O283" s="20"/>
      <c r="P283" s="1561">
        <f>'TEST_pour PROTOTYPE'!D260</f>
        <v>2</v>
      </c>
      <c r="Q283" s="24">
        <f t="shared" si="117"/>
        <v>4</v>
      </c>
      <c r="R283" s="8" t="str">
        <f>IF(BIBLE!K166=0,"",BIBLE!K166)</f>
        <v/>
      </c>
      <c r="S283" s="40"/>
      <c r="T283" s="40"/>
      <c r="U283" s="40"/>
      <c r="V283" s="6">
        <f t="shared" si="115"/>
        <v>4</v>
      </c>
      <c r="W283" s="273"/>
      <c r="X283" s="6">
        <f t="shared" si="116"/>
        <v>0</v>
      </c>
      <c r="Y283" s="6">
        <f t="shared" si="116"/>
        <v>2</v>
      </c>
      <c r="Z283" s="6">
        <f t="shared" si="116"/>
        <v>4</v>
      </c>
      <c r="AA283" s="6">
        <f t="shared" si="116"/>
        <v>8</v>
      </c>
      <c r="AB283" s="6">
        <f t="shared" si="116"/>
        <v>14</v>
      </c>
      <c r="AC283" s="6">
        <f t="shared" si="116"/>
        <v>20</v>
      </c>
      <c r="AE283" s="477"/>
      <c r="AF283" s="38"/>
      <c r="AG283" s="38"/>
      <c r="AH283" s="22">
        <f>$V283*BIBLE!S166</f>
        <v>0</v>
      </c>
      <c r="AI283" s="22">
        <f>$V283*BIBLE!T166</f>
        <v>2</v>
      </c>
      <c r="AJ283" s="22">
        <f>$V283*BIBLE!U166</f>
        <v>2</v>
      </c>
      <c r="AK283" s="1236">
        <f>$V283*BIBLE!W166</f>
        <v>0</v>
      </c>
      <c r="AL283" s="1236">
        <f>$V283*BIBLE!X166</f>
        <v>0</v>
      </c>
      <c r="AM283" s="1236">
        <f>$V283*BIBLE!Y166</f>
        <v>4</v>
      </c>
      <c r="AN283" s="1236">
        <f>$V283*BIBLE!Z166</f>
        <v>0</v>
      </c>
      <c r="AO283" s="1236">
        <f>$V283*BIBLE!AA166</f>
        <v>0</v>
      </c>
      <c r="AP283" s="1236">
        <f>$V283*BIBLE!AB166</f>
        <v>0</v>
      </c>
      <c r="AQ283" s="1236">
        <f>$V283*BIBLE!AC166</f>
        <v>0</v>
      </c>
      <c r="AR283" s="1236">
        <f>$V283*BIBLE!AD166</f>
        <v>0</v>
      </c>
    </row>
    <row r="284" spans="1:60" s="7" customFormat="1" ht="63" customHeight="1" x14ac:dyDescent="0.2">
      <c r="A284" s="1199" t="str">
        <f>BIBLE!E167</f>
        <v>E11</v>
      </c>
      <c r="B284" s="467" t="str">
        <f>BIBLE!F167</f>
        <v>Votre enfant va vers vous lors d'événements culturels ou sportifs lorsqu'il ou elle est en compagnie (sous la supervision) de l'autre parent ?</v>
      </c>
      <c r="C284" s="463" t="str">
        <f>BIBLE!O167</f>
        <v>Toujours / Souvent / Régulièrement / Occasionnellement / Rarement / Jamais / S.O.</v>
      </c>
      <c r="D284" s="1290">
        <f>IF(E40&lt;=8,BIBLE!M167,BIBLE!L167)</f>
        <v>2</v>
      </c>
      <c r="E284" s="20"/>
      <c r="F284" s="20"/>
      <c r="G284" s="20">
        <v>1</v>
      </c>
      <c r="H284" s="20"/>
      <c r="I284" s="20"/>
      <c r="J284" s="20"/>
      <c r="K284" s="20"/>
      <c r="L284" s="20"/>
      <c r="M284" s="20"/>
      <c r="N284" s="20"/>
      <c r="O284" s="20"/>
      <c r="P284" s="1561">
        <f>'TEST_pour PROTOTYPE'!D261</f>
        <v>1</v>
      </c>
      <c r="Q284" s="24">
        <f t="shared" si="117"/>
        <v>2</v>
      </c>
      <c r="R284" s="8" t="str">
        <f>IF(BIBLE!K167=0,"",BIBLE!K167)</f>
        <v/>
      </c>
      <c r="S284" s="40"/>
      <c r="T284" s="40"/>
      <c r="U284" s="40"/>
      <c r="V284" s="6">
        <f t="shared" si="115"/>
        <v>2</v>
      </c>
      <c r="W284" s="273"/>
      <c r="X284" s="6">
        <f t="shared" si="116"/>
        <v>0</v>
      </c>
      <c r="Y284" s="6">
        <f t="shared" si="116"/>
        <v>2</v>
      </c>
      <c r="Z284" s="6">
        <f t="shared" si="116"/>
        <v>4</v>
      </c>
      <c r="AA284" s="6">
        <f t="shared" si="116"/>
        <v>8</v>
      </c>
      <c r="AB284" s="6">
        <f t="shared" si="116"/>
        <v>14</v>
      </c>
      <c r="AC284" s="6">
        <f t="shared" si="116"/>
        <v>20</v>
      </c>
      <c r="AE284" s="477"/>
      <c r="AF284" s="38"/>
      <c r="AG284" s="38"/>
      <c r="AH284" s="22">
        <f>$V284*BIBLE!S167</f>
        <v>2</v>
      </c>
      <c r="AI284" s="22">
        <f>$V284*BIBLE!T167</f>
        <v>0</v>
      </c>
      <c r="AJ284" s="22">
        <f>$V284*BIBLE!U167</f>
        <v>0</v>
      </c>
      <c r="AK284" s="1236">
        <f>$V284*BIBLE!W167</f>
        <v>0</v>
      </c>
      <c r="AL284" s="1236">
        <f>$V284*BIBLE!X167</f>
        <v>0</v>
      </c>
      <c r="AM284" s="1236">
        <f>$V284*BIBLE!Y167</f>
        <v>2</v>
      </c>
      <c r="AN284" s="1236">
        <f>$V284*BIBLE!Z167</f>
        <v>0</v>
      </c>
      <c r="AO284" s="1236">
        <f>$V284*BIBLE!AA167</f>
        <v>0</v>
      </c>
      <c r="AP284" s="1236">
        <f>$V284*BIBLE!AB167</f>
        <v>0</v>
      </c>
      <c r="AQ284" s="1236">
        <f>$V284*BIBLE!AC167</f>
        <v>0</v>
      </c>
      <c r="AR284" s="1236">
        <f>$V284*BIBLE!AD167</f>
        <v>0</v>
      </c>
    </row>
    <row r="285" spans="1:60" s="7" customFormat="1" ht="63" customHeight="1" x14ac:dyDescent="0.2">
      <c r="A285" s="1199" t="str">
        <f>BIBLE!E168</f>
        <v>E13</v>
      </c>
      <c r="B285" s="467" t="str">
        <f>IF(P42&lt;&gt;1,BIBLE!F168,"")</f>
        <v/>
      </c>
      <c r="C285" s="463" t="str">
        <f>BIBLE!O168</f>
        <v xml:space="preserve">Jamais / Rarement / Occasionnellement / Régulièrement / Souvent / Toujours / S.O. </v>
      </c>
      <c r="D285" s="1290">
        <f>BIBLE!L168</f>
        <v>2</v>
      </c>
      <c r="E285" s="20"/>
      <c r="F285" s="20"/>
      <c r="G285" s="20"/>
      <c r="H285" s="20"/>
      <c r="I285" s="20"/>
      <c r="J285" s="20"/>
      <c r="K285" s="20"/>
      <c r="L285" s="20"/>
      <c r="M285" s="20"/>
      <c r="N285" s="20"/>
      <c r="O285" s="20"/>
      <c r="P285" s="1561">
        <f>'TEST_pour PROTOTYPE'!D262</f>
        <v>0</v>
      </c>
      <c r="Q285" s="24">
        <f t="shared" si="117"/>
        <v>0</v>
      </c>
      <c r="R285" s="8" t="str">
        <f>IF(BIBLE!K168=0,"",BIBLE!K168)</f>
        <v/>
      </c>
      <c r="S285" s="40"/>
      <c r="T285" s="40"/>
      <c r="U285" s="40"/>
      <c r="V285" s="6">
        <f t="shared" si="115"/>
        <v>0</v>
      </c>
      <c r="W285" s="273"/>
      <c r="X285" s="6">
        <f t="shared" si="116"/>
        <v>0</v>
      </c>
      <c r="Y285" s="6">
        <f t="shared" si="116"/>
        <v>0</v>
      </c>
      <c r="Z285" s="6">
        <f t="shared" si="116"/>
        <v>0</v>
      </c>
      <c r="AA285" s="6">
        <f t="shared" si="116"/>
        <v>0</v>
      </c>
      <c r="AB285" s="6">
        <f t="shared" si="116"/>
        <v>0</v>
      </c>
      <c r="AC285" s="6">
        <f t="shared" si="116"/>
        <v>0</v>
      </c>
      <c r="AE285" s="477"/>
      <c r="AF285" s="38"/>
      <c r="AG285" s="38"/>
      <c r="AH285" s="22">
        <f>$V285*BIBLE!S168</f>
        <v>0</v>
      </c>
      <c r="AI285" s="22">
        <f>$V285*BIBLE!T168</f>
        <v>0</v>
      </c>
      <c r="AJ285" s="22">
        <f>$V285*BIBLE!U168</f>
        <v>0</v>
      </c>
      <c r="AK285" s="1236">
        <f>$V285*BIBLE!W168</f>
        <v>0</v>
      </c>
      <c r="AL285" s="1236">
        <f>$V285*BIBLE!X168</f>
        <v>0</v>
      </c>
      <c r="AM285" s="1236">
        <f>$V285*BIBLE!Y168</f>
        <v>0</v>
      </c>
      <c r="AN285" s="1236">
        <f>$V285*BIBLE!Z168</f>
        <v>0</v>
      </c>
      <c r="AO285" s="1236">
        <f>$V285*BIBLE!AA168</f>
        <v>0</v>
      </c>
      <c r="AP285" s="1236">
        <f>$V285*BIBLE!AB168</f>
        <v>0</v>
      </c>
      <c r="AQ285" s="1236">
        <f>$V285*BIBLE!AC168</f>
        <v>0</v>
      </c>
      <c r="AR285" s="1236">
        <f>$V285*BIBLE!AD168</f>
        <v>0</v>
      </c>
      <c r="AS285" s="1258"/>
      <c r="AT285" s="1258"/>
    </row>
    <row r="286" spans="1:60" s="7" customFormat="1" ht="63" customHeight="1" x14ac:dyDescent="0.2">
      <c r="A286" s="1199" t="str">
        <f>BIBLE!E169</f>
        <v>E14</v>
      </c>
      <c r="B286" s="467" t="str">
        <f>IF(P46&lt;&gt;1,BIBLE!F169,"")</f>
        <v>Votre enfant laisse entendre que sa vraie famille est celle avec l’autre parent.</v>
      </c>
      <c r="C286" s="463" t="str">
        <f>BIBLE!O169</f>
        <v xml:space="preserve">Jamais / Rarement / Occasionnellement / Régulièrement / Souvent / Toujours / S.O. </v>
      </c>
      <c r="D286" s="1290">
        <f>BIBLE!L169</f>
        <v>2</v>
      </c>
      <c r="E286" s="20"/>
      <c r="F286" s="20"/>
      <c r="G286" s="20"/>
      <c r="H286" s="20"/>
      <c r="I286" s="20"/>
      <c r="J286" s="20">
        <v>1</v>
      </c>
      <c r="K286" s="20"/>
      <c r="L286" s="20"/>
      <c r="M286" s="20"/>
      <c r="N286" s="20"/>
      <c r="O286" s="20"/>
      <c r="P286" s="1561">
        <f>'TEST_pour PROTOTYPE'!D263</f>
        <v>7</v>
      </c>
      <c r="Q286" s="24">
        <f t="shared" si="117"/>
        <v>14</v>
      </c>
      <c r="R286" s="8">
        <f>IF(BIBLE!K169=0,"",BIBLE!K169)</f>
        <v>4</v>
      </c>
      <c r="S286" s="40"/>
      <c r="T286" s="40"/>
      <c r="U286" s="40"/>
      <c r="V286" s="6">
        <f>IF(P286&gt;=R286,IF(Q286&gt;Q287,Q286,Q287),Q286)</f>
        <v>14</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477"/>
      <c r="AF286" s="38"/>
      <c r="AG286" s="38"/>
      <c r="AH286" s="22">
        <f>IF($Q286=$V286,$Q286*BIBLE!S169,$Q287*BIBLE!S170)</f>
        <v>0</v>
      </c>
      <c r="AI286" s="22">
        <f>IF($Q286=$V286,$Q286*BIBLE!T169,$Q287*BIBLE!T170)</f>
        <v>14</v>
      </c>
      <c r="AJ286" s="22">
        <f>IF($Q286=$V286,$Q286*BIBLE!U169,$Q287*BIBLE!U170)</f>
        <v>0</v>
      </c>
      <c r="AK286" s="1236">
        <f>IF($Q286=$V286,$Q286*BIBLE!W169,$Q287*BIBLE!W170)</f>
        <v>0</v>
      </c>
      <c r="AL286" s="1236">
        <f>IF($Q286=$V286,$Q286*BIBLE!X169,$Q287*BIBLE!X170)</f>
        <v>0</v>
      </c>
      <c r="AM286" s="1236">
        <f>IF($Q286=$V286,$Q286*BIBLE!Y169,$Q287*BIBLE!Y170)</f>
        <v>0</v>
      </c>
      <c r="AN286" s="1236">
        <f>IF($Q286=$V286,$Q286*BIBLE!Z169,$Q287*BIBLE!Z170)</f>
        <v>14</v>
      </c>
      <c r="AO286" s="1236">
        <f>IF($Q286=$V286,$Q286*BIBLE!AA169,$Q287*BIBLE!AA170)</f>
        <v>0</v>
      </c>
      <c r="AP286" s="1236">
        <f>IF($Q286=$V286,$Q286*BIBLE!AB169,$Q287*BIBLE!AB170)</f>
        <v>0</v>
      </c>
      <c r="AQ286" s="1236">
        <f>IF($Q286=$V286,$Q286*BIBLE!AC169,$Q287*BIBLE!AC170)</f>
        <v>0</v>
      </c>
      <c r="AR286" s="1236">
        <f>IF($Q286=$V286,$Q286*BIBLE!AD169,$Q287*BIBLE!AD170)</f>
        <v>0</v>
      </c>
      <c r="AS286" s="1259"/>
      <c r="AT286" s="1258"/>
    </row>
    <row r="287" spans="1:60" s="7" customFormat="1" ht="63" customHeight="1" x14ac:dyDescent="0.2">
      <c r="A287" s="1199" t="str">
        <f>BIBLE!E170</f>
        <v>E14a</v>
      </c>
      <c r="B287" s="134" t="str">
        <f>IF(P286&gt;=R286,BIBLE!F170,"")</f>
        <v xml:space="preserve">Selon votre enfant, la nouvelle famille de l'autre parent (famille recomposée ou non) a plus de valeur que la vôtre. </v>
      </c>
      <c r="C287" s="463" t="str">
        <f>BIBLE!O170</f>
        <v>Nulle / Très faible / Faible / Moyenne / Élevée / Très élevée / S.O.</v>
      </c>
      <c r="D287" s="1290">
        <f>BIBLE!L170</f>
        <v>3</v>
      </c>
      <c r="E287" s="20"/>
      <c r="F287" s="20"/>
      <c r="G287" s="20"/>
      <c r="H287" s="20">
        <v>1</v>
      </c>
      <c r="I287" s="20"/>
      <c r="J287" s="20"/>
      <c r="K287" s="20"/>
      <c r="L287" s="20"/>
      <c r="M287" s="20"/>
      <c r="N287" s="20"/>
      <c r="O287" s="20"/>
      <c r="P287" s="1561">
        <f>'TEST_pour PROTOTYPE'!D264</f>
        <v>2</v>
      </c>
      <c r="Q287" s="24">
        <f>P287*D287</f>
        <v>6</v>
      </c>
      <c r="R287" s="8" t="str">
        <f>IF(BIBLE!K170=0,"",BIBLE!K170)</f>
        <v/>
      </c>
      <c r="S287" s="456"/>
      <c r="T287" s="456"/>
      <c r="U287" s="456"/>
      <c r="V287" s="6"/>
      <c r="W287" s="273"/>
      <c r="X287" s="6"/>
      <c r="Y287" s="6"/>
      <c r="Z287" s="6"/>
      <c r="AA287" s="6"/>
      <c r="AB287" s="6"/>
      <c r="AC287" s="6"/>
      <c r="AE287" s="477"/>
      <c r="AF287" s="38"/>
      <c r="AG287" s="38"/>
      <c r="AH287" s="69"/>
      <c r="AI287" s="69"/>
      <c r="AJ287" s="69"/>
      <c r="AK287" s="683"/>
      <c r="AL287" s="683"/>
      <c r="AM287" s="683"/>
      <c r="AN287" s="683"/>
      <c r="AO287" s="683"/>
      <c r="AP287" s="683"/>
      <c r="AQ287" s="683"/>
      <c r="AR287" s="683"/>
      <c r="AS287" s="1258"/>
      <c r="AT287" s="1258"/>
    </row>
    <row r="288" spans="1:60" s="7" customFormat="1" ht="63" customHeight="1" x14ac:dyDescent="0.2">
      <c r="A288" s="1199" t="str">
        <f>BIBLE!E171</f>
        <v>E15</v>
      </c>
      <c r="B288" s="133" t="str">
        <f>BIBLE!F171</f>
        <v>Arrive-t-il à votre enfant d'être agressif envers vous au retour d'un séjour (tour de garde) chez l'autre parent ?</v>
      </c>
      <c r="C288" s="463" t="str">
        <f>BIBLE!O171</f>
        <v xml:space="preserve">Jamais / Rarement / Occasionnellement / Régulièrement / Souvent / Toujours / S.O. </v>
      </c>
      <c r="D288" s="1290">
        <f>BIBLE!L171</f>
        <v>2</v>
      </c>
      <c r="E288" s="20"/>
      <c r="F288" s="20"/>
      <c r="G288" s="20"/>
      <c r="H288" s="20">
        <v>1</v>
      </c>
      <c r="I288" s="20"/>
      <c r="J288" s="20"/>
      <c r="K288" s="20"/>
      <c r="L288" s="20"/>
      <c r="M288" s="20"/>
      <c r="N288" s="20"/>
      <c r="O288" s="20"/>
      <c r="P288" s="1561">
        <f>'TEST_pour PROTOTYPE'!D265</f>
        <v>2</v>
      </c>
      <c r="Q288" s="24">
        <f t="shared" si="117"/>
        <v>4</v>
      </c>
      <c r="R288" s="8">
        <f>IF(BIBLE!K171=0,"",BIBLE!K171)</f>
        <v>4</v>
      </c>
      <c r="S288" s="40"/>
      <c r="T288" s="40"/>
      <c r="U288" s="40"/>
      <c r="V288" s="6">
        <f>IF(P288&gt;=R288,IF(Q288&gt;Q289,Q288,Q289),Q288)</f>
        <v>4</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477"/>
      <c r="AF288" s="38"/>
      <c r="AG288" s="38"/>
      <c r="AH288" s="22">
        <f>IF($Q288=$V288,$Q288*BIBLE!S171,$Q289*BIBLE!S172)</f>
        <v>0</v>
      </c>
      <c r="AI288" s="22">
        <f>IF($Q288=$V288,$Q288*BIBLE!T171,$Q289*BIBLE!T172)</f>
        <v>4</v>
      </c>
      <c r="AJ288" s="22">
        <f>IF($Q288=$V288,$Q288*BIBLE!U171,$Q289*BIBLE!U172)</f>
        <v>0</v>
      </c>
      <c r="AK288" s="1236">
        <f>IF($Q288=$V288,$Q288*BIBLE!W171,$Q289*BIBLE!W172)</f>
        <v>0</v>
      </c>
      <c r="AL288" s="1236">
        <f>IF($Q288=$V288,$Q288*BIBLE!X171,$Q289*BIBLE!X172)</f>
        <v>0</v>
      </c>
      <c r="AM288" s="1236">
        <f>IF($Q288=$V288,$Q288*BIBLE!Y171,$Q289*BIBLE!Y172)</f>
        <v>0</v>
      </c>
      <c r="AN288" s="1236">
        <f>IF($Q288=$V288,$Q288*BIBLE!Z171,$Q289*BIBLE!Z172)</f>
        <v>4</v>
      </c>
      <c r="AO288" s="1236">
        <f>IF($Q288=$V288,$Q288*BIBLE!AA171,$Q289*BIBLE!AA172)</f>
        <v>0</v>
      </c>
      <c r="AP288" s="1236">
        <f>IF($Q288=$V288,$Q288*BIBLE!AB171,$Q289*BIBLE!AB172)</f>
        <v>0</v>
      </c>
      <c r="AQ288" s="1236">
        <f>IF($Q288=$V288,$Q288*BIBLE!AC171,$Q289*BIBLE!AC172)</f>
        <v>0</v>
      </c>
      <c r="AR288" s="1236">
        <f>IF($Q288=$V288,$Q288*BIBLE!AD171,$Q289*BIBLE!AD172)</f>
        <v>0</v>
      </c>
    </row>
    <row r="289" spans="1:61" s="7" customFormat="1" ht="63" customHeight="1" x14ac:dyDescent="0.2">
      <c r="A289" s="1199" t="str">
        <f>BIBLE!E172</f>
        <v>E15a</v>
      </c>
      <c r="B289" s="134" t="str">
        <f>IF(P288&gt;=R288,BIBLE!F172,"")</f>
        <v/>
      </c>
      <c r="C289" s="463" t="str">
        <f>BIBLE!O172</f>
        <v xml:space="preserve">Jamais / Rarement / Occasionnellement / Régulièrement / Souvent / Toujours / S.O. </v>
      </c>
      <c r="D289" s="1290">
        <f>BIBLE!L172</f>
        <v>3</v>
      </c>
      <c r="E289" s="20"/>
      <c r="F289" s="20"/>
      <c r="G289" s="20"/>
      <c r="H289" s="20"/>
      <c r="I289" s="20"/>
      <c r="J289" s="20"/>
      <c r="K289" s="20"/>
      <c r="L289" s="20"/>
      <c r="M289" s="20"/>
      <c r="N289" s="20"/>
      <c r="O289" s="20"/>
      <c r="P289" s="1561">
        <f>'TEST_pour PROTOTYPE'!D266</f>
        <v>0</v>
      </c>
      <c r="Q289" s="24">
        <f t="shared" si="117"/>
        <v>0</v>
      </c>
      <c r="R289" s="8" t="str">
        <f>IF(BIBLE!K172=0,"",BIBLE!K172)</f>
        <v/>
      </c>
      <c r="S289" s="456"/>
      <c r="T289" s="456"/>
      <c r="U289" s="456"/>
      <c r="V289" s="6"/>
      <c r="W289" s="273"/>
      <c r="X289" s="6"/>
      <c r="Y289" s="6"/>
      <c r="Z289" s="6"/>
      <c r="AA289" s="6"/>
      <c r="AB289" s="6"/>
      <c r="AC289" s="6"/>
      <c r="AE289" s="477"/>
      <c r="AF289" s="38"/>
      <c r="AG289" s="38"/>
      <c r="AH289" s="69"/>
      <c r="AI289" s="69"/>
      <c r="AJ289" s="69"/>
      <c r="AK289" s="683"/>
      <c r="AL289" s="683"/>
      <c r="AM289" s="683"/>
      <c r="AN289" s="683"/>
      <c r="AO289" s="683"/>
      <c r="AP289" s="683"/>
      <c r="AQ289" s="683"/>
      <c r="AR289" s="683"/>
      <c r="BB289" s="17" t="s">
        <v>446</v>
      </c>
    </row>
    <row r="290" spans="1:61" s="7" customFormat="1" ht="63" customHeight="1" x14ac:dyDescent="0.2">
      <c r="A290" s="1199" t="str">
        <f>BIBLE!E173</f>
        <v>E16</v>
      </c>
      <c r="B290" s="133" t="str">
        <f>BIBLE!F173</f>
        <v>Votre enfant demande à modifier les horaires de garde et de visite.</v>
      </c>
      <c r="C290" s="463" t="str">
        <f>BIBLE!O173</f>
        <v xml:space="preserve">Jamais / Rarement / Occasionnellement / Régulièrement / Souvent / Toujours / S.O. </v>
      </c>
      <c r="D290" s="1290">
        <f>BIBLE!L173</f>
        <v>2</v>
      </c>
      <c r="E290" s="20"/>
      <c r="F290" s="20"/>
      <c r="G290" s="20"/>
      <c r="H290" s="20">
        <v>1</v>
      </c>
      <c r="I290" s="20"/>
      <c r="J290" s="20"/>
      <c r="K290" s="20"/>
      <c r="L290" s="20"/>
      <c r="M290" s="20"/>
      <c r="N290" s="20"/>
      <c r="O290" s="20"/>
      <c r="P290" s="1561">
        <f>'TEST_pour PROTOTYPE'!D267</f>
        <v>2</v>
      </c>
      <c r="Q290" s="24">
        <f>P290*D290</f>
        <v>4</v>
      </c>
      <c r="R290" s="8">
        <f>IF(BIBLE!K173=0,"",BIBLE!K173)</f>
        <v>2</v>
      </c>
      <c r="S290" s="41"/>
      <c r="T290" s="41"/>
      <c r="U290" s="41"/>
      <c r="V290" s="6">
        <f>IF(P290&gt;=R290,IF(SUM(Q296:Q298)&gt;Q290,SUM(Q296:Q298),Q290),Q290)</f>
        <v>27</v>
      </c>
      <c r="W290" s="8"/>
      <c r="X290" s="6">
        <f>IF(Q290&gt;SUM(Q296:Q298),AU290,SUM(AU296:AU298))</f>
        <v>0</v>
      </c>
      <c r="Y290" s="6">
        <f>IF(Q290&gt;SUM(Q296:Q298),AV290,SUM(AV296:AV298))</f>
        <v>6</v>
      </c>
      <c r="Z290" s="6">
        <f>IF(Q290&gt;SUM(Q296:Q298),AW290,SUM(AW296:AW298))</f>
        <v>12</v>
      </c>
      <c r="AA290" s="6">
        <f>IF(Q290&gt;SUM(Q296:Q298),AX290,SUM(AX296:AX298))</f>
        <v>24</v>
      </c>
      <c r="AB290" s="6">
        <f>IF(Q290&gt;SUM(Q296:Q298),AY290,SUM(AY296:AY298))</f>
        <v>42</v>
      </c>
      <c r="AC290" s="6">
        <f>IF(Q290&gt;SUM(Q296:Q298),AZ290,SUM(AZ296:AZ298))</f>
        <v>60</v>
      </c>
      <c r="AE290" s="477"/>
      <c r="AF290" s="38"/>
      <c r="AG290" s="38"/>
      <c r="AH290" s="69">
        <f>IF($Q290=$V290,$Q290*BIBLE!S173,(Test_Bible!$Q296*BIBLE!S175+Test_Bible!$Q297*BIBLE!S176+$Q298*BIBLE!S177))</f>
        <v>16.5</v>
      </c>
      <c r="AI290" s="69">
        <f>IF($Q290=$V290,$Q290*BIBLE!T173,(Test_Bible!$Q296*BIBLE!T175+Test_Bible!$Q297*BIBLE!T176+$Q298*BIBLE!T177))</f>
        <v>10.5</v>
      </c>
      <c r="AJ290" s="69">
        <f>IF($Q290=$V290,$Q290*BIBLE!U173,(Test_Bible!$Q296*BIBLE!U175+Test_Bible!$Q297*BIBLE!U176+$Q298*BIBLE!U177))</f>
        <v>0</v>
      </c>
      <c r="AK290" s="683">
        <f>IF($Q290=$V290,$Q290*BIBLE!W173,(Test_Bible!$Q296*BIBLE!W175+Test_Bible!$Q297*BIBLE!W176+$Q298*BIBLE!W177))</f>
        <v>0</v>
      </c>
      <c r="AL290" s="683">
        <f>IF($Q290=$V290,$Q290*BIBLE!X173,(Test_Bible!$Q296*BIBLE!X175+Test_Bible!$Q297*BIBLE!X176+$Q298*BIBLE!X177))</f>
        <v>0</v>
      </c>
      <c r="AM290" s="683">
        <f>IF($Q290=$V290,$Q290*BIBLE!Y173,(Test_Bible!$Q296*BIBLE!Y175+Test_Bible!$Q297*BIBLE!Y176+$Q298*BIBLE!Y177))</f>
        <v>0</v>
      </c>
      <c r="AN290" s="683">
        <f>IF($Q290=$V290,$Q290*BIBLE!Z173,(Test_Bible!$Q296*BIBLE!Z175+Test_Bible!$Q297*BIBLE!Z176+$Q298*BIBLE!Z177))</f>
        <v>0</v>
      </c>
      <c r="AO290" s="683">
        <f>IF($Q290=$V290,$Q290*BIBLE!AA173,(Test_Bible!$Q296*BIBLE!AA175+Test_Bible!$Q297*BIBLE!AA176+$Q298*BIBLE!AA177))</f>
        <v>27</v>
      </c>
      <c r="AP290" s="683">
        <f>IF($Q290=$V290,$Q290*BIBLE!AB173,(Test_Bible!$Q296*BIBLE!AB175+Test_Bible!$Q297*BIBLE!AB176+$Q298*BIBLE!AB177))</f>
        <v>0</v>
      </c>
      <c r="AQ290" s="683">
        <f>IF($Q290=$V290,$Q290*BIBLE!AC173,(Test_Bible!$Q296*BIBLE!AC175+Test_Bible!$Q297*BIBLE!AC176+$Q298*BIBLE!AC177))</f>
        <v>0</v>
      </c>
      <c r="AR290" s="68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x14ac:dyDescent="0.2">
      <c r="A291" s="1199" t="str">
        <f>BIBLE!E174</f>
        <v>E16a</v>
      </c>
      <c r="B291" s="1683" t="str">
        <f>IF(P290&gt;=R290,BIBLE!F174,"")</f>
        <v>Dans quel contexte votre enfant demande-t-il ou elle à changer les horaires de garde et de visite chez l'un et l'autre des parents ?</v>
      </c>
      <c r="C291" s="463" t="s">
        <v>1775</v>
      </c>
      <c r="D291" s="1290"/>
      <c r="E291" s="8"/>
      <c r="F291" s="20"/>
      <c r="G291" s="20"/>
      <c r="H291" s="20"/>
      <c r="I291" s="20"/>
      <c r="J291" s="20"/>
      <c r="K291" s="20"/>
      <c r="L291" s="20"/>
      <c r="M291" s="20"/>
      <c r="N291" s="20"/>
      <c r="O291" s="20" t="s">
        <v>1518</v>
      </c>
      <c r="P291" s="24">
        <f>MAX(P292:P294)</f>
        <v>3</v>
      </c>
      <c r="Q291" s="24"/>
      <c r="R291" s="8"/>
      <c r="S291" s="41"/>
      <c r="T291" s="41"/>
      <c r="U291" s="41"/>
      <c r="V291" s="6"/>
      <c r="W291" s="8"/>
      <c r="X291" s="6"/>
      <c r="Y291" s="6"/>
      <c r="Z291" s="6"/>
      <c r="AA291" s="6"/>
      <c r="AB291" s="6"/>
      <c r="AC291" s="6"/>
      <c r="AE291" s="477"/>
      <c r="AF291" s="38"/>
      <c r="AG291" s="38"/>
      <c r="AH291" s="69"/>
      <c r="AI291" s="69"/>
      <c r="AJ291" s="69"/>
      <c r="AK291" s="683"/>
      <c r="AL291" s="683"/>
      <c r="AM291" s="683"/>
      <c r="AN291" s="683"/>
      <c r="AO291" s="683"/>
      <c r="AP291" s="683"/>
      <c r="AQ291" s="683"/>
      <c r="AR291" s="683"/>
      <c r="AS291" s="6"/>
      <c r="AT291" s="16"/>
      <c r="AU291" s="6"/>
      <c r="AV291" s="6"/>
      <c r="AW291" s="6"/>
      <c r="AX291" s="6"/>
      <c r="AY291" s="6"/>
      <c r="AZ291" s="6"/>
      <c r="BA291" s="8"/>
      <c r="BB291" s="6"/>
      <c r="BC291" s="8"/>
      <c r="BD291" s="6"/>
      <c r="BE291" s="6"/>
      <c r="BF291" s="6"/>
      <c r="BG291" s="6"/>
      <c r="BH291" s="6"/>
      <c r="BI291" s="6"/>
    </row>
    <row r="292" spans="1:61" s="7" customFormat="1" ht="44" customHeight="1" x14ac:dyDescent="0.2">
      <c r="A292" s="1199"/>
      <c r="B292" s="134"/>
      <c r="C292" s="850" t="s">
        <v>1096</v>
      </c>
      <c r="D292" s="1459">
        <v>1</v>
      </c>
      <c r="E292" s="1501">
        <f>'TEST_pour PROTOTYPE'!D268</f>
        <v>1</v>
      </c>
      <c r="F292" s="20"/>
      <c r="G292" s="20"/>
      <c r="H292" s="20"/>
      <c r="I292" s="20"/>
      <c r="J292" s="20"/>
      <c r="K292" s="20"/>
      <c r="L292" s="20"/>
      <c r="M292" s="20"/>
      <c r="N292" s="20"/>
      <c r="O292" s="20"/>
      <c r="P292" s="1485">
        <f>D292*E292</f>
        <v>1</v>
      </c>
      <c r="Q292" s="24"/>
      <c r="R292" s="8"/>
      <c r="S292" s="41"/>
      <c r="T292" s="41"/>
      <c r="U292" s="41"/>
      <c r="V292" s="6"/>
      <c r="W292" s="8"/>
      <c r="X292" s="6"/>
      <c r="Y292" s="6"/>
      <c r="Z292" s="6"/>
      <c r="AA292" s="6"/>
      <c r="AB292" s="6"/>
      <c r="AC292" s="6"/>
      <c r="AE292" s="477"/>
      <c r="AF292" s="38"/>
      <c r="AG292" s="38"/>
      <c r="AH292" s="69"/>
      <c r="AI292" s="69"/>
      <c r="AJ292" s="69"/>
      <c r="AK292" s="683"/>
      <c r="AL292" s="683"/>
      <c r="AM292" s="683"/>
      <c r="AN292" s="683"/>
      <c r="AO292" s="683"/>
      <c r="AP292" s="683"/>
      <c r="AQ292" s="683"/>
      <c r="AR292" s="683"/>
      <c r="AS292" s="6"/>
      <c r="AT292" s="16"/>
      <c r="AU292" s="6"/>
      <c r="AV292" s="6"/>
      <c r="AW292" s="6"/>
      <c r="AX292" s="6"/>
      <c r="AY292" s="6"/>
      <c r="AZ292" s="6"/>
      <c r="BA292" s="8"/>
      <c r="BB292" s="6"/>
      <c r="BC292" s="8"/>
      <c r="BD292" s="6"/>
      <c r="BE292" s="6"/>
      <c r="BF292" s="6"/>
      <c r="BG292" s="6"/>
      <c r="BH292" s="6"/>
      <c r="BI292" s="6"/>
    </row>
    <row r="293" spans="1:61" s="7" customFormat="1" ht="44" customHeight="1" x14ac:dyDescent="0.2">
      <c r="A293" s="1199"/>
      <c r="B293" s="134"/>
      <c r="C293" s="850" t="s">
        <v>1099</v>
      </c>
      <c r="D293" s="1459">
        <v>2</v>
      </c>
      <c r="E293" s="1501">
        <f>'TEST_pour PROTOTYPE'!D269</f>
        <v>0</v>
      </c>
      <c r="F293" s="20"/>
      <c r="G293" s="20"/>
      <c r="H293" s="20"/>
      <c r="I293" s="20"/>
      <c r="J293" s="20"/>
      <c r="K293" s="20"/>
      <c r="L293" s="20"/>
      <c r="M293" s="20"/>
      <c r="N293" s="20"/>
      <c r="O293" s="20"/>
      <c r="P293" s="1485">
        <f t="shared" ref="P293:P294" si="122">D293*E293</f>
        <v>0</v>
      </c>
      <c r="Q293" s="24"/>
      <c r="R293" s="8"/>
      <c r="S293" s="41"/>
      <c r="T293" s="41"/>
      <c r="U293" s="41"/>
      <c r="V293" s="6"/>
      <c r="W293" s="8"/>
      <c r="X293" s="6"/>
      <c r="Y293" s="6"/>
      <c r="Z293" s="6"/>
      <c r="AA293" s="6"/>
      <c r="AB293" s="6"/>
      <c r="AC293" s="6"/>
      <c r="AE293" s="477"/>
      <c r="AF293" s="38"/>
      <c r="AG293" s="38"/>
      <c r="AH293" s="69"/>
      <c r="AI293" s="69"/>
      <c r="AJ293" s="69"/>
      <c r="AK293" s="683"/>
      <c r="AL293" s="683"/>
      <c r="AM293" s="683"/>
      <c r="AN293" s="683"/>
      <c r="AO293" s="683"/>
      <c r="AP293" s="683"/>
      <c r="AQ293" s="683"/>
      <c r="AR293" s="683"/>
      <c r="AS293" s="6"/>
      <c r="AT293" s="16"/>
      <c r="AU293" s="6"/>
      <c r="AV293" s="6"/>
      <c r="AW293" s="6"/>
      <c r="AX293" s="6"/>
      <c r="AY293" s="6"/>
      <c r="AZ293" s="6"/>
      <c r="BA293" s="8"/>
      <c r="BB293" s="6"/>
      <c r="BC293" s="8"/>
      <c r="BD293" s="6"/>
      <c r="BE293" s="6"/>
      <c r="BF293" s="6"/>
      <c r="BG293" s="6"/>
      <c r="BH293" s="6"/>
      <c r="BI293" s="6"/>
    </row>
    <row r="294" spans="1:61" s="7" customFormat="1" ht="44" customHeight="1" x14ac:dyDescent="0.2">
      <c r="A294" s="1199"/>
      <c r="B294" s="134"/>
      <c r="C294" s="850" t="s">
        <v>1100</v>
      </c>
      <c r="D294" s="1459">
        <v>3</v>
      </c>
      <c r="E294" s="1501">
        <f>'TEST_pour PROTOTYPE'!D270</f>
        <v>1</v>
      </c>
      <c r="F294" s="52"/>
      <c r="G294" s="52"/>
      <c r="H294" s="52"/>
      <c r="I294" s="20"/>
      <c r="J294" s="20"/>
      <c r="K294" s="20"/>
      <c r="L294" s="20"/>
      <c r="M294" s="20"/>
      <c r="N294" s="20"/>
      <c r="O294" s="20"/>
      <c r="P294" s="1485">
        <f t="shared" si="122"/>
        <v>3</v>
      </c>
      <c r="Q294" s="24"/>
      <c r="R294" s="8"/>
      <c r="S294" s="41"/>
      <c r="T294" s="41"/>
      <c r="U294" s="41"/>
      <c r="V294" s="6"/>
      <c r="W294" s="8"/>
      <c r="X294" s="6"/>
      <c r="Y294" s="6"/>
      <c r="Z294" s="6"/>
      <c r="AA294" s="6"/>
      <c r="AB294" s="6"/>
      <c r="AC294" s="6"/>
      <c r="AE294" s="477"/>
      <c r="AF294" s="38"/>
      <c r="AG294" s="38"/>
      <c r="AH294" s="69"/>
      <c r="AI294" s="69"/>
      <c r="AJ294" s="69"/>
      <c r="AK294" s="683"/>
      <c r="AL294" s="683"/>
      <c r="AM294" s="683"/>
      <c r="AN294" s="683"/>
      <c r="AO294" s="683"/>
      <c r="AP294" s="683"/>
      <c r="AQ294" s="683"/>
      <c r="AR294" s="683"/>
      <c r="AS294" s="6"/>
      <c r="AT294" s="16"/>
      <c r="AU294" s="6"/>
      <c r="AV294" s="6"/>
      <c r="AW294" s="6"/>
      <c r="AX294" s="6"/>
      <c r="AY294" s="6"/>
      <c r="AZ294" s="6"/>
      <c r="BA294" s="8"/>
      <c r="BB294" s="6"/>
      <c r="BC294" s="8"/>
      <c r="BD294" s="6"/>
      <c r="BE294" s="6"/>
      <c r="BF294" s="6"/>
      <c r="BG294" s="6"/>
      <c r="BH294" s="6"/>
      <c r="BI294" s="6"/>
    </row>
    <row r="295" spans="1:61" s="7" customFormat="1" ht="4" customHeight="1" x14ac:dyDescent="0.2">
      <c r="A295" s="1199"/>
      <c r="B295" s="134"/>
      <c r="C295" s="850"/>
      <c r="D295" s="850"/>
      <c r="E295" s="1565"/>
      <c r="F295" s="8"/>
      <c r="G295" s="8"/>
      <c r="H295" s="8"/>
      <c r="I295" s="20"/>
      <c r="J295" s="20"/>
      <c r="K295" s="20"/>
      <c r="L295" s="20"/>
      <c r="M295" s="20"/>
      <c r="N295" s="20"/>
      <c r="O295" s="20"/>
      <c r="P295" s="24"/>
      <c r="Q295" s="24"/>
      <c r="R295" s="8"/>
      <c r="S295" s="41"/>
      <c r="T295" s="41"/>
      <c r="U295" s="41"/>
      <c r="V295" s="6"/>
      <c r="W295" s="8"/>
      <c r="X295" s="6"/>
      <c r="Y295" s="6"/>
      <c r="Z295" s="6"/>
      <c r="AA295" s="6"/>
      <c r="AB295" s="6"/>
      <c r="AC295" s="6"/>
      <c r="AE295" s="477"/>
      <c r="AF295" s="38"/>
      <c r="AG295" s="38"/>
      <c r="AH295" s="69"/>
      <c r="AI295" s="69"/>
      <c r="AJ295" s="69"/>
      <c r="AK295" s="683"/>
      <c r="AL295" s="683"/>
      <c r="AM295" s="683"/>
      <c r="AN295" s="683"/>
      <c r="AO295" s="683"/>
      <c r="AP295" s="683"/>
      <c r="AQ295" s="683"/>
      <c r="AR295" s="683"/>
      <c r="AS295" s="6"/>
      <c r="AT295" s="16"/>
      <c r="AU295" s="6"/>
      <c r="AV295" s="6"/>
      <c r="AW295" s="6"/>
      <c r="AX295" s="6"/>
      <c r="AY295" s="6"/>
      <c r="AZ295" s="6"/>
      <c r="BA295" s="8"/>
      <c r="BB295" s="6"/>
      <c r="BC295" s="8"/>
      <c r="BD295" s="6"/>
      <c r="BE295" s="6"/>
      <c r="BF295" s="6"/>
      <c r="BG295" s="6"/>
      <c r="BH295" s="6"/>
      <c r="BI295" s="6"/>
    </row>
    <row r="296" spans="1:61" s="7" customFormat="1" ht="63" customHeight="1" x14ac:dyDescent="0.2">
      <c r="A296" s="1199" t="str">
        <f>BIBLE!E175</f>
        <v>E16a1</v>
      </c>
      <c r="B296" s="134" t="str">
        <f>IF(E$294=1,BIBLE!F175,"")</f>
        <v>Dans quelle mesure votre enfant impose-t-il ou elle des changements d’horaires et de visite à la faveur de l'autre parent sans vous consulter au préalable et sans votre autorisation ?</v>
      </c>
      <c r="C296" s="463" t="str">
        <f>BIBLE!O175</f>
        <v xml:space="preserve">Jamais / Rarement / Occasionnellement / Régulièrement / Souvent / Toujours / S.O. </v>
      </c>
      <c r="D296" s="1290">
        <f>IF(E40&gt;=10,BIBLE!L175,BIBLE!M175)</f>
        <v>3</v>
      </c>
      <c r="E296" s="19"/>
      <c r="F296" s="19">
        <v>1</v>
      </c>
      <c r="G296" s="19"/>
      <c r="H296" s="19"/>
      <c r="I296" s="20"/>
      <c r="J296" s="20"/>
      <c r="K296" s="20"/>
      <c r="L296" s="20"/>
      <c r="M296" s="20"/>
      <c r="N296" s="20"/>
      <c r="O296" s="20"/>
      <c r="P296" s="1561">
        <f>'TEST_pour PROTOTYPE'!D271</f>
        <v>0</v>
      </c>
      <c r="Q296" s="24">
        <f t="shared" si="117"/>
        <v>0</v>
      </c>
      <c r="R296" s="8" t="str">
        <f>IF(BIBLE!K175=0,"",BIBLE!K175)</f>
        <v/>
      </c>
      <c r="S296" s="41"/>
      <c r="T296" s="41"/>
      <c r="U296" s="41"/>
      <c r="V296" s="8"/>
      <c r="AE296" s="477"/>
      <c r="AF296" s="38"/>
      <c r="AG296" s="38"/>
      <c r="AH296" s="69"/>
      <c r="AI296" s="69"/>
      <c r="AJ296" s="69"/>
      <c r="AK296" s="683"/>
      <c r="AL296" s="683"/>
      <c r="AM296" s="683"/>
      <c r="AN296" s="683"/>
      <c r="AO296" s="683"/>
      <c r="AP296" s="683"/>
      <c r="AQ296" s="683"/>
      <c r="AR296" s="683"/>
      <c r="AS296" s="6">
        <f>Q296</f>
        <v>0</v>
      </c>
      <c r="AT296" s="16"/>
      <c r="AU296" s="6">
        <f t="shared" ref="AU296:AZ298" si="123">IF($Q296&gt;0,X$109*$D296,0)</f>
        <v>0</v>
      </c>
      <c r="AV296" s="6">
        <f t="shared" si="123"/>
        <v>0</v>
      </c>
      <c r="AW296" s="6">
        <f t="shared" si="123"/>
        <v>0</v>
      </c>
      <c r="AX296" s="6">
        <f t="shared" si="123"/>
        <v>0</v>
      </c>
      <c r="AY296" s="6">
        <f t="shared" si="123"/>
        <v>0</v>
      </c>
      <c r="AZ296" s="6">
        <f t="shared" si="123"/>
        <v>0</v>
      </c>
      <c r="BA296" s="8"/>
      <c r="BB296" s="6">
        <f>SUM(AS296:AS298)</f>
        <v>27</v>
      </c>
      <c r="BC296" s="8"/>
      <c r="BD296" s="6">
        <f t="shared" ref="BD296:BI296" si="124">SUM(AU296:AU298)</f>
        <v>0</v>
      </c>
      <c r="BE296" s="6">
        <f t="shared" si="124"/>
        <v>6</v>
      </c>
      <c r="BF296" s="6">
        <f t="shared" si="124"/>
        <v>12</v>
      </c>
      <c r="BG296" s="6">
        <f t="shared" si="124"/>
        <v>24</v>
      </c>
      <c r="BH296" s="6">
        <f t="shared" si="124"/>
        <v>42</v>
      </c>
      <c r="BI296" s="6">
        <f t="shared" si="124"/>
        <v>60</v>
      </c>
    </row>
    <row r="297" spans="1:61" s="7" customFormat="1" ht="97" customHeight="1" x14ac:dyDescent="0.2">
      <c r="A297" s="1199" t="str">
        <f>BIBLE!E176</f>
        <v>E16a2</v>
      </c>
      <c r="B297" s="134" t="str">
        <f>IF(E$294=1,BIBLE!F176,"")</f>
        <v>Arrive-t-il à votre enfant de changer d’idée concernant une activité prévue à l’horaire avec vous ?  D’abord enthousiaste, votre enfant trouve subitement (dernière minute) des excuses pour ne pas participer à l’activité ?</v>
      </c>
      <c r="C297" s="463" t="str">
        <f>BIBLE!O176</f>
        <v xml:space="preserve">Jamais / Rarement / Occasionnellement / Régulièrement / Souvent / Toujours / S.O. </v>
      </c>
      <c r="D297" s="1290">
        <f>BIBLE!L176</f>
        <v>3</v>
      </c>
      <c r="E297" s="20"/>
      <c r="F297" s="20"/>
      <c r="G297" s="20"/>
      <c r="H297" s="20">
        <v>1</v>
      </c>
      <c r="I297" s="20"/>
      <c r="J297" s="20"/>
      <c r="K297" s="20"/>
      <c r="L297" s="20"/>
      <c r="M297" s="20"/>
      <c r="N297" s="20"/>
      <c r="O297" s="20"/>
      <c r="P297" s="1561">
        <f>'TEST_pour PROTOTYPE'!D272</f>
        <v>2</v>
      </c>
      <c r="Q297" s="24">
        <f t="shared" si="117"/>
        <v>6</v>
      </c>
      <c r="R297" s="8" t="str">
        <f>IF(BIBLE!K176=0,"",BIBLE!K176)</f>
        <v/>
      </c>
      <c r="S297" s="41"/>
      <c r="T297" s="41"/>
      <c r="U297" s="41"/>
      <c r="V297" s="8"/>
      <c r="AE297" s="477"/>
      <c r="AF297" s="38"/>
      <c r="AG297" s="38"/>
      <c r="AH297" s="69"/>
      <c r="AI297" s="69"/>
      <c r="AJ297" s="69"/>
      <c r="AK297" s="683"/>
      <c r="AL297" s="683"/>
      <c r="AM297" s="683"/>
      <c r="AN297" s="683"/>
      <c r="AO297" s="683"/>
      <c r="AP297" s="683"/>
      <c r="AQ297" s="683"/>
      <c r="AR297" s="683"/>
      <c r="AS297" s="6">
        <f>Q297</f>
        <v>6</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x14ac:dyDescent="0.2">
      <c r="A298" s="1199" t="str">
        <f>BIBLE!E177</f>
        <v>E16a3</v>
      </c>
      <c r="B298" s="134" t="str">
        <f>IF(E$294=1,BIBLE!F177,"")</f>
        <v>Votre enfant subit une pression pour passer plus de temps chez l'autre parent.</v>
      </c>
      <c r="C298" s="463" t="str">
        <f>BIBLE!O177</f>
        <v>Nulle / Très faible / Faible / Moyenne / Élevée / Très élevée / S.O.</v>
      </c>
      <c r="D298" s="1290">
        <f>IF(E40&gt;=10,BIBLE!L177,BIBLE!M177)</f>
        <v>3</v>
      </c>
      <c r="E298" s="20"/>
      <c r="F298" s="20"/>
      <c r="G298" s="20"/>
      <c r="H298" s="20"/>
      <c r="I298" s="20"/>
      <c r="J298" s="20">
        <v>1</v>
      </c>
      <c r="K298" s="20"/>
      <c r="L298" s="20"/>
      <c r="M298" s="20"/>
      <c r="N298" s="20"/>
      <c r="O298" s="20"/>
      <c r="P298" s="1561">
        <f>'TEST_pour PROTOTYPE'!D273</f>
        <v>7</v>
      </c>
      <c r="Q298" s="24">
        <f t="shared" si="117"/>
        <v>21</v>
      </c>
      <c r="R298" s="8" t="str">
        <f>IF(BIBLE!K177=0,"",BIBLE!K177)</f>
        <v/>
      </c>
      <c r="S298" s="41"/>
      <c r="T298" s="41"/>
      <c r="U298" s="41"/>
      <c r="V298" s="8"/>
      <c r="AE298" s="477"/>
      <c r="AF298" s="38"/>
      <c r="AG298" s="38"/>
      <c r="AH298" s="69"/>
      <c r="AI298" s="69"/>
      <c r="AJ298" s="69"/>
      <c r="AK298" s="683"/>
      <c r="AL298" s="683"/>
      <c r="AM298" s="683"/>
      <c r="AN298" s="683"/>
      <c r="AO298" s="683"/>
      <c r="AP298" s="683"/>
      <c r="AQ298" s="683"/>
      <c r="AR298" s="683"/>
      <c r="AS298" s="6">
        <f>Q298</f>
        <v>21</v>
      </c>
      <c r="AT298" s="8"/>
      <c r="AU298" s="6">
        <f t="shared" si="123"/>
        <v>0</v>
      </c>
      <c r="AV298" s="6">
        <f t="shared" si="123"/>
        <v>3</v>
      </c>
      <c r="AW298" s="6">
        <f t="shared" si="123"/>
        <v>6</v>
      </c>
      <c r="AX298" s="6">
        <f t="shared" si="123"/>
        <v>12</v>
      </c>
      <c r="AY298" s="6">
        <f t="shared" si="123"/>
        <v>21</v>
      </c>
      <c r="AZ298" s="6">
        <f t="shared" si="123"/>
        <v>30</v>
      </c>
      <c r="BA298" s="8"/>
      <c r="BB298" s="8"/>
      <c r="BC298" s="8"/>
      <c r="BD298" s="8"/>
      <c r="BE298" s="8"/>
      <c r="BF298" s="8"/>
      <c r="BG298" s="8"/>
    </row>
    <row r="299" spans="1:61" s="7" customFormat="1" ht="63" customHeight="1" x14ac:dyDescent="0.2">
      <c r="A299" s="1199" t="str">
        <f>BIBLE!E178</f>
        <v>E18</v>
      </c>
      <c r="B299" s="133" t="str">
        <f>BIBLE!F178</f>
        <v>Votre enfant répond à vos messages lorsqu’il est chez l’autre parent (tél., textos, réseaux sociaux, etc.).</v>
      </c>
      <c r="C299" s="463" t="str">
        <f>BIBLE!O178</f>
        <v>Toujours / Souvent / Régulièrement / Occasionnellement / Rarement / Jamais / S.O.</v>
      </c>
      <c r="D299" s="1290">
        <f>BIBLE!L178</f>
        <v>2</v>
      </c>
      <c r="E299" s="20"/>
      <c r="F299" s="20"/>
      <c r="G299" s="20"/>
      <c r="H299" s="20">
        <v>1</v>
      </c>
      <c r="I299" s="20"/>
      <c r="J299" s="20"/>
      <c r="K299" s="20"/>
      <c r="L299" s="20"/>
      <c r="M299" s="20"/>
      <c r="N299" s="20"/>
      <c r="O299" s="20"/>
      <c r="P299" s="1561">
        <f>'TEST_pour PROTOTYPE'!D274</f>
        <v>2</v>
      </c>
      <c r="Q299" s="24">
        <f t="shared" si="117"/>
        <v>4</v>
      </c>
      <c r="R299" s="8" t="str">
        <f>IF(BIBLE!K178=0,"",BIBLE!K178)</f>
        <v/>
      </c>
      <c r="S299" s="41"/>
      <c r="T299" s="41"/>
      <c r="U299" s="41"/>
      <c r="V299" s="6">
        <f>Q299</f>
        <v>4</v>
      </c>
      <c r="W299" s="273"/>
      <c r="X299" s="6">
        <f t="shared" ref="X299:AC299" si="125">IF($Q299&gt;0,X$109*$D299,0)</f>
        <v>0</v>
      </c>
      <c r="Y299" s="6">
        <f t="shared" si="125"/>
        <v>2</v>
      </c>
      <c r="Z299" s="6">
        <f t="shared" si="125"/>
        <v>4</v>
      </c>
      <c r="AA299" s="6">
        <f t="shared" si="125"/>
        <v>8</v>
      </c>
      <c r="AB299" s="6">
        <f t="shared" si="125"/>
        <v>14</v>
      </c>
      <c r="AC299" s="6">
        <f t="shared" si="125"/>
        <v>20</v>
      </c>
      <c r="AE299" s="477"/>
      <c r="AF299" s="38"/>
      <c r="AG299" s="38"/>
      <c r="AH299" s="22">
        <f>$V299*BIBLE!S178</f>
        <v>4</v>
      </c>
      <c r="AI299" s="22">
        <f>$V299*BIBLE!T178</f>
        <v>0</v>
      </c>
      <c r="AJ299" s="22">
        <f>$V299*BIBLE!U178</f>
        <v>0</v>
      </c>
      <c r="AK299" s="1236">
        <f>$V299*BIBLE!W178</f>
        <v>0</v>
      </c>
      <c r="AL299" s="1236">
        <f>$V299*BIBLE!X178</f>
        <v>0</v>
      </c>
      <c r="AM299" s="1236">
        <f>$V299*BIBLE!Y178</f>
        <v>0</v>
      </c>
      <c r="AN299" s="1236">
        <f>$V299*BIBLE!Z178</f>
        <v>0</v>
      </c>
      <c r="AO299" s="1236">
        <f>$V299*BIBLE!AA178</f>
        <v>4</v>
      </c>
      <c r="AP299" s="1236">
        <f>$V299*BIBLE!AB178</f>
        <v>0</v>
      </c>
      <c r="AQ299" s="1236">
        <f>$V299*BIBLE!AC178</f>
        <v>0</v>
      </c>
      <c r="AR299" s="1236">
        <f>$V299*BIBLE!AD178</f>
        <v>0</v>
      </c>
    </row>
    <row r="300" spans="1:61" s="7" customFormat="1" ht="63" customHeight="1" x14ac:dyDescent="0.2">
      <c r="A300" s="1199" t="str">
        <f>BIBLE!E179</f>
        <v>E20</v>
      </c>
      <c r="B300" s="133" t="str">
        <f>IF($P$46&lt;&gt;1,BIBLE!F179,"")</f>
        <v>Votre enfant considère le nouveau ou nouvelle conjoint·e (de l'autre parent) comme son père ou sa mère.</v>
      </c>
      <c r="C300" s="463" t="str">
        <f>BIBLE!O179</f>
        <v>Nulle / Très faible / Faible / Moyenne / Élevée / Très élevée / S.O.</v>
      </c>
      <c r="D300" s="1290">
        <f>BIBLE!L179</f>
        <v>2</v>
      </c>
      <c r="E300" s="20"/>
      <c r="F300" s="20"/>
      <c r="G300" s="20">
        <v>1</v>
      </c>
      <c r="H300" s="20"/>
      <c r="I300" s="20"/>
      <c r="J300" s="20"/>
      <c r="K300" s="20"/>
      <c r="L300" s="20"/>
      <c r="M300" s="20"/>
      <c r="N300" s="20"/>
      <c r="O300" s="20"/>
      <c r="P300" s="1561">
        <f>'TEST_pour PROTOTYPE'!D275</f>
        <v>1</v>
      </c>
      <c r="Q300" s="23">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477"/>
      <c r="AF300" s="38"/>
      <c r="AG300" s="38"/>
      <c r="AH300" s="22">
        <f>IF($Q300=$V300,$Q300*BIBLE!S179,$Q301*BIBLE!S180)</f>
        <v>1</v>
      </c>
      <c r="AI300" s="22">
        <f>IF($Q300=$V300,$Q300*BIBLE!T179,$Q301*BIBLE!T180)</f>
        <v>1</v>
      </c>
      <c r="AJ300" s="22">
        <f>IF($Q300=$V300,$Q300*BIBLE!U179,$Q301*BIBLE!U180)</f>
        <v>0</v>
      </c>
      <c r="AK300" s="1236">
        <f>IF($Q300=$V300,$Q300*BIBLE!W179,$Q301*BIBLE!W180)</f>
        <v>0</v>
      </c>
      <c r="AL300" s="1236">
        <f>IF($Q300=$V300,$Q300*BIBLE!X179,$Q301*BIBLE!X180)</f>
        <v>0</v>
      </c>
      <c r="AM300" s="1236">
        <f>IF($Q300=$V300,$Q300*BIBLE!Y179,$Q301*BIBLE!Y180)</f>
        <v>0</v>
      </c>
      <c r="AN300" s="1236">
        <f>IF($Q300=$V300,$Q300*BIBLE!Z179,$Q301*BIBLE!Z180)</f>
        <v>0</v>
      </c>
      <c r="AO300" s="1236">
        <f>IF($Q300=$V300,$Q300*BIBLE!AA179,$Q301*BIBLE!AA180)</f>
        <v>0</v>
      </c>
      <c r="AP300" s="1236">
        <f>IF($Q300=$V300,$Q300*BIBLE!AB179,$Q301*BIBLE!AB180)</f>
        <v>2</v>
      </c>
      <c r="AQ300" s="1236">
        <f>IF($Q300=$V300,$Q300*BIBLE!AC179,$Q301*BIBLE!AC180)</f>
        <v>0</v>
      </c>
      <c r="AR300" s="1236">
        <f>IF($Q300=$V300,$Q300*BIBLE!AD179,$Q301*BIBLE!AD180)</f>
        <v>0</v>
      </c>
    </row>
    <row r="301" spans="1:61" s="7" customFormat="1" ht="63" customHeight="1" x14ac:dyDescent="0.2">
      <c r="A301" s="1199" t="s">
        <v>1098</v>
      </c>
      <c r="B301" s="134" t="str">
        <f>IF(P300&gt;=R300,BIBLE!F180,"")</f>
        <v/>
      </c>
      <c r="C301" s="463" t="str">
        <f>BIBLE!O180</f>
        <v>Nulle / Très faible / Faible / Moyenne / Élevée / Très élevée / S.O.</v>
      </c>
      <c r="D301" s="1290">
        <f>BIBLE!L180</f>
        <v>3</v>
      </c>
      <c r="E301" s="20"/>
      <c r="F301" s="20"/>
      <c r="G301" s="20"/>
      <c r="H301" s="20"/>
      <c r="I301" s="20"/>
      <c r="J301" s="20">
        <v>1</v>
      </c>
      <c r="K301" s="20"/>
      <c r="L301" s="20"/>
      <c r="M301" s="20"/>
      <c r="N301" s="20"/>
      <c r="O301" s="20"/>
      <c r="P301" s="1561">
        <f>'TEST_pour PROTOTYPE'!D276</f>
        <v>0</v>
      </c>
      <c r="Q301" s="23">
        <f t="shared" si="126"/>
        <v>0</v>
      </c>
      <c r="R301" s="8" t="str">
        <f>IF(BIBLE!K180=0,"",BIBLE!K180)</f>
        <v/>
      </c>
      <c r="S301" s="8"/>
      <c r="T301" s="8"/>
      <c r="U301" s="8"/>
      <c r="V301" s="8"/>
      <c r="W301" s="8"/>
      <c r="X301" s="8"/>
      <c r="Y301" s="8"/>
      <c r="Z301" s="8"/>
      <c r="AA301" s="8"/>
      <c r="AB301" s="8"/>
      <c r="AC301" s="8"/>
      <c r="AD301" s="8"/>
      <c r="AE301" s="477"/>
      <c r="AF301" s="38"/>
      <c r="AG301" s="38"/>
      <c r="AH301" s="69"/>
      <c r="AI301" s="69"/>
      <c r="AJ301" s="69"/>
      <c r="AK301" s="683"/>
      <c r="AL301" s="683"/>
      <c r="AM301" s="683"/>
      <c r="AN301" s="683"/>
      <c r="AO301" s="683"/>
      <c r="AP301" s="683"/>
      <c r="AQ301" s="683"/>
      <c r="AR301" s="683"/>
    </row>
    <row r="302" spans="1:61" s="7" customFormat="1" ht="63" customHeight="1" x14ac:dyDescent="0.2">
      <c r="A302" s="1199" t="str">
        <f>BIBLE!E181</f>
        <v>E21</v>
      </c>
      <c r="B302" s="133" t="str">
        <f>BIBLE!F181</f>
        <v>Les jouets et les vêtements de votre enfant se promènent d’une maison à l’autre simplement.</v>
      </c>
      <c r="C302" s="463" t="str">
        <f>BIBLE!O181</f>
        <v>Toujours / Souvent / Régulièrement / Occasionnellement / Rarement / Jamais / S.O.</v>
      </c>
      <c r="D302" s="1659">
        <f>BIBLE!L181</f>
        <v>1</v>
      </c>
      <c r="E302" s="20"/>
      <c r="F302" s="20"/>
      <c r="G302" s="20"/>
      <c r="H302" s="20"/>
      <c r="I302" s="20"/>
      <c r="J302" s="20">
        <v>1</v>
      </c>
      <c r="K302" s="20"/>
      <c r="L302" s="20"/>
      <c r="M302" s="20"/>
      <c r="N302" s="20"/>
      <c r="O302" s="20"/>
      <c r="P302" s="1561">
        <f>'TEST_pour PROTOTYPE'!D277</f>
        <v>7</v>
      </c>
      <c r="Q302" s="23">
        <f t="shared" si="117"/>
        <v>7</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477"/>
      <c r="AF302" s="38"/>
      <c r="AG302" s="38"/>
      <c r="AH302" s="22">
        <f>IF($Q302=$V302,$Q302*BIBLE!S181,$Q303*BIBLE!S182)</f>
        <v>7</v>
      </c>
      <c r="AI302" s="22">
        <f>IF($Q302=$V302,$Q302*BIBLE!T181,$Q303*BIBLE!T182)</f>
        <v>7</v>
      </c>
      <c r="AJ302" s="22">
        <f>IF($Q302=$V302,$Q302*BIBLE!U181,$Q303*BIBLE!U182)</f>
        <v>0</v>
      </c>
      <c r="AK302" s="1236">
        <f>IF($Q302=$V302,$Q302*BIBLE!W181,$Q303*BIBLE!W182)</f>
        <v>0</v>
      </c>
      <c r="AL302" s="1236">
        <f>IF($Q302=$V302,$Q302*BIBLE!X181,$Q303*BIBLE!X182)</f>
        <v>0</v>
      </c>
      <c r="AM302" s="1236">
        <f>IF($Q302=$V302,$Q302*BIBLE!Y181,$Q303*BIBLE!Y182)</f>
        <v>0</v>
      </c>
      <c r="AN302" s="1236">
        <f>IF($Q302=$V302,$Q302*BIBLE!Z181,$Q303*BIBLE!Z182)</f>
        <v>0</v>
      </c>
      <c r="AO302" s="1236">
        <f>IF($Q302=$V302,$Q302*BIBLE!AA181,$Q303*BIBLE!AA182)</f>
        <v>0</v>
      </c>
      <c r="AP302" s="1236">
        <f>IF($Q302=$V302,$Q302*BIBLE!AB181,$Q303*BIBLE!AB182)</f>
        <v>14</v>
      </c>
      <c r="AQ302" s="1236">
        <f>IF($Q302=$V302,$Q302*BIBLE!AC181,$Q303*BIBLE!AC182)</f>
        <v>0</v>
      </c>
      <c r="AR302" s="1236">
        <f>IF($Q302=$V302,$Q302*BIBLE!AD181,$Q303*BIBLE!AD182)</f>
        <v>0</v>
      </c>
    </row>
    <row r="303" spans="1:61" s="7" customFormat="1" ht="63" customHeight="1" x14ac:dyDescent="0.2">
      <c r="A303" s="1199" t="str">
        <f>BIBLE!E182</f>
        <v>E21a</v>
      </c>
      <c r="B303" s="134" t="str">
        <f>IF(P302&gt;=R302,BIBLE!F182,"")</f>
        <v xml:space="preserve">Dans quelle mesure diriez-vous que l'autre parent accepte que votre enfant apporte des objets qui proviennent de votre demeure ou de votre milieu ? </v>
      </c>
      <c r="C303" s="463" t="str">
        <f>BIBLE!O182</f>
        <v>Toujours / Souvent / Régulièrement / Occasionnellement / Rarement / Jamais / S.O.</v>
      </c>
      <c r="D303" s="1659">
        <f>BIBLE!L182</f>
        <v>2</v>
      </c>
      <c r="E303" s="20"/>
      <c r="F303" s="20"/>
      <c r="G303" s="20"/>
      <c r="H303" s="20"/>
      <c r="I303" s="20"/>
      <c r="J303" s="20">
        <v>1</v>
      </c>
      <c r="K303" s="20"/>
      <c r="L303" s="20"/>
      <c r="M303" s="20"/>
      <c r="N303" s="20"/>
      <c r="O303" s="20"/>
      <c r="P303" s="1561">
        <f>'TEST_pour PROTOTYPE'!D278</f>
        <v>7</v>
      </c>
      <c r="Q303" s="23">
        <f t="shared" si="117"/>
        <v>14</v>
      </c>
      <c r="R303" s="8" t="str">
        <f>IF(BIBLE!K182=0,"",BIBLE!K182)</f>
        <v/>
      </c>
      <c r="S303" s="8"/>
      <c r="T303" s="8"/>
      <c r="U303" s="8"/>
      <c r="V303" s="8"/>
      <c r="W303" s="8"/>
      <c r="X303" s="8"/>
      <c r="Y303" s="8"/>
      <c r="Z303" s="8"/>
      <c r="AA303" s="8"/>
      <c r="AB303" s="8"/>
      <c r="AC303" s="8"/>
      <c r="AD303" s="8"/>
      <c r="AE303" s="477"/>
      <c r="AF303" s="38"/>
      <c r="AG303" s="38"/>
      <c r="AH303" s="69"/>
      <c r="AI303" s="69"/>
      <c r="AJ303" s="69"/>
      <c r="AK303" s="683"/>
      <c r="AL303" s="683"/>
      <c r="AM303" s="683"/>
      <c r="AN303" s="683"/>
      <c r="AO303" s="683"/>
      <c r="AP303" s="683"/>
      <c r="AQ303" s="683"/>
      <c r="AR303" s="683"/>
    </row>
    <row r="304" spans="1:61" s="7" customFormat="1" ht="72" customHeight="1" x14ac:dyDescent="0.2">
      <c r="A304" s="1199" t="str">
        <f>BIBLE!E183</f>
        <v>E22</v>
      </c>
      <c r="B304" s="133" t="str">
        <f>BIBLE!F183</f>
        <v>Votre enfant connait des informations personnelles ou intimes sur vous dont vous n'avez jamais discuté avec lui ou avec elle.</v>
      </c>
      <c r="C304" s="463" t="str">
        <f>BIBLE!O183</f>
        <v>Nulle / Très faible / Faible / Moyenne / Élevée / Très élevée / S.O.</v>
      </c>
      <c r="D304" s="1290">
        <f>BIBLE!L183</f>
        <v>2</v>
      </c>
      <c r="E304" s="20"/>
      <c r="F304" s="20"/>
      <c r="G304" s="20"/>
      <c r="H304" s="20">
        <v>1</v>
      </c>
      <c r="I304" s="20"/>
      <c r="J304" s="20"/>
      <c r="K304" s="20"/>
      <c r="L304" s="20"/>
      <c r="M304" s="20"/>
      <c r="N304" s="20"/>
      <c r="O304" s="20"/>
      <c r="P304" s="1561">
        <f>'TEST_pour PROTOTYPE'!D279</f>
        <v>2</v>
      </c>
      <c r="Q304" s="24">
        <f t="shared" si="117"/>
        <v>4</v>
      </c>
      <c r="R304" s="8">
        <f>IF(BIBLE!K183=0,"",BIBLE!K183)</f>
        <v>2</v>
      </c>
      <c r="S304" s="41"/>
      <c r="T304" s="41"/>
      <c r="U304" s="41"/>
      <c r="V304" s="6">
        <f>IF(P304&gt;=R304,IF(Q304&gt;Q305,Q304,Q305),Q304)</f>
        <v>6</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477"/>
      <c r="AF304" s="38"/>
      <c r="AG304" s="38"/>
      <c r="AH304" s="22">
        <f>IF($Q304=$V304,$Q304*BIBLE!S183,$Q305*BIBLE!S184)</f>
        <v>0</v>
      </c>
      <c r="AI304" s="22">
        <f>IF($Q304=$V304,$Q304*BIBLE!T183,$Q305*BIBLE!T184)</f>
        <v>6</v>
      </c>
      <c r="AJ304" s="22">
        <f>IF($Q304=$V304,$Q304*BIBLE!U183,$Q305*BIBLE!U184)</f>
        <v>0</v>
      </c>
      <c r="AK304" s="1236">
        <f>IF($Q304=$V304,$Q304*BIBLE!W183,$Q305*BIBLE!W184)</f>
        <v>0</v>
      </c>
      <c r="AL304" s="1236">
        <f>IF($Q304=$V304,$Q304*BIBLE!X183,$Q305*BIBLE!X184)</f>
        <v>0</v>
      </c>
      <c r="AM304" s="1236">
        <f>IF($Q304=$V304,$Q304*BIBLE!Y183,$Q305*BIBLE!Y184)</f>
        <v>0</v>
      </c>
      <c r="AN304" s="1236">
        <f>IF($Q304=$V304,$Q304*BIBLE!Z183,$Q305*BIBLE!Z184)</f>
        <v>0</v>
      </c>
      <c r="AO304" s="1236">
        <f>IF($Q304=$V304,$Q304*BIBLE!AA183,$Q305*BIBLE!AA184)</f>
        <v>0</v>
      </c>
      <c r="AP304" s="1236">
        <f>IF($Q304=$V304,$Q304*BIBLE!AB183,$Q305*BIBLE!AB184)</f>
        <v>6</v>
      </c>
      <c r="AQ304" s="1236">
        <f>IF($Q304=$V304,$Q304*BIBLE!AC183,$Q305*BIBLE!AC184)</f>
        <v>0</v>
      </c>
      <c r="AR304" s="1236">
        <f>IF($Q304=$V304,$Q304*BIBLE!AD183,$Q305*BIBLE!AD184)</f>
        <v>0</v>
      </c>
    </row>
    <row r="305" spans="1:44" s="7" customFormat="1" ht="63" customHeight="1" x14ac:dyDescent="0.2">
      <c r="A305" s="1199" t="str">
        <f>BIBLE!E184</f>
        <v>E22a</v>
      </c>
      <c r="B305" s="134" t="str">
        <f>IF(P304&gt;=R304,BIBLE!F184,"")</f>
        <v>Dans quelle mesure les souvenirs de votre enfant vous semblent-ils être déformés ? (ex.: souvenirs de la petite enfance vus aujourd'hui différement)</v>
      </c>
      <c r="C305" s="463" t="str">
        <f>BIBLE!O184</f>
        <v>Nulle / Très faible / Faible / Moyenne / Élevée / Très élevée / S.O.</v>
      </c>
      <c r="D305" s="1290">
        <f>BIBLE!L184</f>
        <v>3</v>
      </c>
      <c r="E305" s="20"/>
      <c r="F305" s="20"/>
      <c r="G305" s="20"/>
      <c r="H305" s="20">
        <v>1</v>
      </c>
      <c r="I305" s="20"/>
      <c r="J305" s="20"/>
      <c r="K305" s="20"/>
      <c r="L305" s="20"/>
      <c r="M305" s="20"/>
      <c r="N305" s="20"/>
      <c r="O305" s="20"/>
      <c r="P305" s="1561">
        <f>'TEST_pour PROTOTYPE'!D280</f>
        <v>2</v>
      </c>
      <c r="Q305" s="24">
        <f>P305*D305</f>
        <v>6</v>
      </c>
      <c r="R305" s="8" t="str">
        <f>IF(BIBLE!K184=0,"",BIBLE!K184)</f>
        <v/>
      </c>
      <c r="S305" s="41"/>
      <c r="T305" s="41"/>
      <c r="U305" s="41"/>
      <c r="V305" s="6"/>
      <c r="W305" s="273"/>
      <c r="X305" s="6"/>
      <c r="Y305" s="6"/>
      <c r="Z305" s="6"/>
      <c r="AA305" s="6"/>
      <c r="AB305" s="6"/>
      <c r="AC305" s="6"/>
      <c r="AE305" s="477"/>
      <c r="AF305" s="38"/>
      <c r="AG305" s="38"/>
      <c r="AH305" s="69"/>
      <c r="AI305" s="69"/>
      <c r="AJ305" s="69"/>
      <c r="AK305" s="683"/>
      <c r="AL305" s="683"/>
      <c r="AM305" s="683"/>
      <c r="AN305" s="683"/>
      <c r="AO305" s="683"/>
      <c r="AP305" s="683"/>
      <c r="AQ305" s="683"/>
      <c r="AR305" s="683"/>
    </row>
    <row r="306" spans="1:44" s="7" customFormat="1" ht="63" customHeight="1" x14ac:dyDescent="0.2">
      <c r="A306" s="1199" t="str">
        <f>BIBLE!E185</f>
        <v>E17</v>
      </c>
      <c r="B306" s="133" t="str">
        <f>BIBLE!F185</f>
        <v xml:space="preserve">Dans quelle mesure diriez-vous que votre enfant a la responsabilité de vous communiquer les informations concernant la logistique familiale (gestion vêtements, lunch, activités, etc.) au retour d'un séjour chez l'autre parent ? </v>
      </c>
      <c r="C306" s="463" t="str">
        <f>BIBLE!O185</f>
        <v xml:space="preserve">Jamais / Rarement / Occasionnellement / Régulièrement / Souvent / Toujours / S.O. </v>
      </c>
      <c r="D306" s="1290">
        <f>IF(E40&gt;=8,BIBLE!L185,BIBLE!M185)</f>
        <v>1</v>
      </c>
      <c r="E306" s="20"/>
      <c r="F306" s="20"/>
      <c r="G306" s="20"/>
      <c r="H306" s="20"/>
      <c r="I306" s="20"/>
      <c r="J306" s="20">
        <v>1</v>
      </c>
      <c r="K306" s="20"/>
      <c r="L306" s="20"/>
      <c r="M306" s="20"/>
      <c r="N306" s="20"/>
      <c r="O306" s="20"/>
      <c r="P306" s="1561">
        <f>'TEST_pour PROTOTYPE'!D281</f>
        <v>7</v>
      </c>
      <c r="Q306" s="24">
        <f>P306*D306</f>
        <v>7</v>
      </c>
      <c r="R306" s="8" t="str">
        <f>IF(BIBLE!K185=0,"",BIBLE!K185)</f>
        <v/>
      </c>
      <c r="S306" s="41"/>
      <c r="T306" s="41"/>
      <c r="U306" s="41"/>
      <c r="V306" s="6">
        <f t="shared" ref="V306:V311" si="129">Q306</f>
        <v>7</v>
      </c>
      <c r="W306" s="273"/>
      <c r="X306" s="6">
        <f t="shared" ref="X306:AC306" si="130">IF($Q306&gt;0,X$109*$D306,0)</f>
        <v>0</v>
      </c>
      <c r="Y306" s="6">
        <f t="shared" si="130"/>
        <v>1</v>
      </c>
      <c r="Z306" s="6">
        <f t="shared" si="130"/>
        <v>2</v>
      </c>
      <c r="AA306" s="6">
        <f t="shared" si="130"/>
        <v>4</v>
      </c>
      <c r="AB306" s="6">
        <f t="shared" si="130"/>
        <v>7</v>
      </c>
      <c r="AC306" s="6">
        <f t="shared" si="130"/>
        <v>10</v>
      </c>
      <c r="AE306" s="477"/>
      <c r="AF306" s="38"/>
      <c r="AG306" s="38"/>
      <c r="AH306" s="22">
        <f>$V306*BIBLE!S185</f>
        <v>7</v>
      </c>
      <c r="AI306" s="22">
        <f>$V306*BIBLE!T185</f>
        <v>0</v>
      </c>
      <c r="AJ306" s="22">
        <f>$V306*BIBLE!U185</f>
        <v>0</v>
      </c>
      <c r="AK306" s="1236">
        <f>$V306*BIBLE!W185</f>
        <v>0</v>
      </c>
      <c r="AL306" s="1236">
        <f>$V306*BIBLE!X185</f>
        <v>0</v>
      </c>
      <c r="AM306" s="1236">
        <f>$V306*BIBLE!Y185</f>
        <v>0</v>
      </c>
      <c r="AN306" s="1236">
        <f>$V306*BIBLE!Z185</f>
        <v>0</v>
      </c>
      <c r="AO306" s="1236">
        <f>$V306*BIBLE!AA185</f>
        <v>0</v>
      </c>
      <c r="AP306" s="1236">
        <f>$V306*BIBLE!AB185</f>
        <v>0</v>
      </c>
      <c r="AQ306" s="1236">
        <f>$V306*BIBLE!AC185</f>
        <v>7</v>
      </c>
      <c r="AR306" s="1236">
        <f>$V306*BIBLE!AD185</f>
        <v>0</v>
      </c>
    </row>
    <row r="307" spans="1:44" s="7" customFormat="1" ht="63" customHeight="1" x14ac:dyDescent="0.2">
      <c r="A307" s="1199" t="str">
        <f>BIBLE!E186</f>
        <v>E23</v>
      </c>
      <c r="B307" s="133" t="str">
        <f>BIBLE!F186</f>
        <v>Votre enfant se sent responsable du bonheur de l’autre parent ou sent le besoin de le protéger.</v>
      </c>
      <c r="C307" s="463" t="str">
        <f>BIBLE!O186</f>
        <v>Nulle / Très faible / Faible / Moyenne / Élevée / Très élevée / S.O.</v>
      </c>
      <c r="D307" s="1290">
        <f>BIBLE!L186</f>
        <v>1</v>
      </c>
      <c r="E307" s="20"/>
      <c r="F307" s="20"/>
      <c r="G307" s="20">
        <v>1</v>
      </c>
      <c r="H307" s="20"/>
      <c r="I307" s="20"/>
      <c r="J307" s="20"/>
      <c r="K307" s="20"/>
      <c r="L307" s="20"/>
      <c r="M307" s="20"/>
      <c r="N307" s="20"/>
      <c r="O307" s="20"/>
      <c r="P307" s="1561">
        <f>'TEST_pour PROTOTYPE'!D282</f>
        <v>1</v>
      </c>
      <c r="Q307" s="24">
        <f t="shared" si="117"/>
        <v>1</v>
      </c>
      <c r="R307" s="8" t="str">
        <f>IF(BIBLE!K186=0,"",BIBLE!K186)</f>
        <v/>
      </c>
      <c r="S307" s="40"/>
      <c r="T307" s="40"/>
      <c r="U307" s="40"/>
      <c r="V307" s="6">
        <f t="shared" si="129"/>
        <v>1</v>
      </c>
      <c r="W307" s="273"/>
      <c r="X307" s="6">
        <f t="shared" ref="X307:AC310" si="131">IF($Q307&gt;0,X$109*$D307,0)</f>
        <v>0</v>
      </c>
      <c r="Y307" s="6">
        <f t="shared" si="131"/>
        <v>1</v>
      </c>
      <c r="Z307" s="6">
        <f t="shared" si="131"/>
        <v>2</v>
      </c>
      <c r="AA307" s="6">
        <f t="shared" si="131"/>
        <v>4</v>
      </c>
      <c r="AB307" s="6">
        <f t="shared" si="131"/>
        <v>7</v>
      </c>
      <c r="AC307" s="6">
        <f t="shared" si="131"/>
        <v>10</v>
      </c>
      <c r="AE307" s="477"/>
      <c r="AF307" s="38"/>
      <c r="AG307" s="38"/>
      <c r="AH307" s="22">
        <f>$V307*BIBLE!S186</f>
        <v>0</v>
      </c>
      <c r="AI307" s="22">
        <f>$V307*BIBLE!T186</f>
        <v>1</v>
      </c>
      <c r="AJ307" s="22">
        <f>$V307*BIBLE!U186</f>
        <v>0</v>
      </c>
      <c r="AK307" s="1236">
        <f>$V307*BIBLE!W186</f>
        <v>0</v>
      </c>
      <c r="AL307" s="1236">
        <f>$V307*BIBLE!X186</f>
        <v>0</v>
      </c>
      <c r="AM307" s="1236">
        <f>$V307*BIBLE!Y186</f>
        <v>0</v>
      </c>
      <c r="AN307" s="1236">
        <f>$V307*BIBLE!Z186</f>
        <v>0</v>
      </c>
      <c r="AO307" s="1236">
        <f>$V307*BIBLE!AA186</f>
        <v>0</v>
      </c>
      <c r="AP307" s="1236">
        <f>$V307*BIBLE!AB186</f>
        <v>0</v>
      </c>
      <c r="AQ307" s="1236">
        <f>$V307*BIBLE!AC186</f>
        <v>1</v>
      </c>
      <c r="AR307" s="1236">
        <f>$V307*BIBLE!AD186</f>
        <v>0</v>
      </c>
    </row>
    <row r="308" spans="1:44" s="7" customFormat="1" ht="63" customHeight="1" x14ac:dyDescent="0.2">
      <c r="A308" s="1199" t="str">
        <f>BIBLE!E187</f>
        <v>E24</v>
      </c>
      <c r="B308" s="133" t="str">
        <f>IF(OR($P$53&gt;=$R$53,P113&gt;=4,P123&gt;=4),BIBLE!F187,"")</f>
        <v>L'autre parent a informé votre enfant du contexte juridique, financier ou autre associé au conflit vous opposant.</v>
      </c>
      <c r="C308" s="463" t="str">
        <f>BIBLE!O187</f>
        <v>Nulle / Très faible / Faible / Moyenne / Élevée / Très élevée / S.O.</v>
      </c>
      <c r="D308" s="1290">
        <f>BIBLE!L187</f>
        <v>2</v>
      </c>
      <c r="E308" s="20"/>
      <c r="F308" s="20"/>
      <c r="G308" s="20"/>
      <c r="H308" s="20"/>
      <c r="I308" s="20"/>
      <c r="J308" s="20"/>
      <c r="K308" s="20">
        <v>1</v>
      </c>
      <c r="L308" s="20"/>
      <c r="M308" s="20"/>
      <c r="N308" s="20"/>
      <c r="O308" s="20"/>
      <c r="P308" s="1561">
        <f>'TEST_pour PROTOTYPE'!D283</f>
        <v>10</v>
      </c>
      <c r="Q308" s="24">
        <f t="shared" si="117"/>
        <v>20</v>
      </c>
      <c r="R308" s="8" t="str">
        <f>IF(BIBLE!K187=0,"",BIBLE!K187)</f>
        <v/>
      </c>
      <c r="S308" s="41"/>
      <c r="T308" s="41"/>
      <c r="U308" s="41"/>
      <c r="V308" s="6">
        <f t="shared" si="129"/>
        <v>20</v>
      </c>
      <c r="W308" s="273"/>
      <c r="X308" s="6">
        <f t="shared" si="131"/>
        <v>0</v>
      </c>
      <c r="Y308" s="6">
        <f t="shared" si="131"/>
        <v>2</v>
      </c>
      <c r="Z308" s="6">
        <f t="shared" si="131"/>
        <v>4</v>
      </c>
      <c r="AA308" s="6">
        <f t="shared" si="131"/>
        <v>8</v>
      </c>
      <c r="AB308" s="6">
        <f t="shared" si="131"/>
        <v>14</v>
      </c>
      <c r="AC308" s="6">
        <f t="shared" si="131"/>
        <v>20</v>
      </c>
      <c r="AE308" s="477"/>
      <c r="AF308" s="38"/>
      <c r="AG308" s="38"/>
      <c r="AH308" s="22">
        <f>$V308*BIBLE!S187</f>
        <v>20</v>
      </c>
      <c r="AI308" s="22">
        <f>$V308*BIBLE!T187</f>
        <v>0</v>
      </c>
      <c r="AJ308" s="22">
        <f>$V308*BIBLE!U187</f>
        <v>0</v>
      </c>
      <c r="AK308" s="1236">
        <f>$V308*BIBLE!W187</f>
        <v>0</v>
      </c>
      <c r="AL308" s="1236">
        <f>$V308*BIBLE!X187</f>
        <v>0</v>
      </c>
      <c r="AM308" s="1236">
        <f>$V308*BIBLE!Y187</f>
        <v>0</v>
      </c>
      <c r="AN308" s="1236">
        <f>$V308*BIBLE!Z187</f>
        <v>0</v>
      </c>
      <c r="AO308" s="1236">
        <f>$V308*BIBLE!AA187</f>
        <v>0</v>
      </c>
      <c r="AP308" s="1236">
        <f>$V308*BIBLE!AB187</f>
        <v>0</v>
      </c>
      <c r="AQ308" s="1236">
        <f>$V308*BIBLE!AC187</f>
        <v>20</v>
      </c>
      <c r="AR308" s="1236">
        <f>$V308*BIBLE!AD187</f>
        <v>0</v>
      </c>
    </row>
    <row r="309" spans="1:44" s="7" customFormat="1" ht="63" customHeight="1" x14ac:dyDescent="0.2">
      <c r="A309" s="1199" t="str">
        <f>BIBLE!E188</f>
        <v>E25</v>
      </c>
      <c r="B309" s="133" t="str">
        <f>BIBLE!F188</f>
        <v>Dans quelle mesure diriez-vous que votre enfant sent le besoin de protéger l’autre parent ou de défendre ses intérêts ?</v>
      </c>
      <c r="C309" s="463" t="str">
        <f>BIBLE!O188</f>
        <v>Nulle / Très faible / Faible / Moyenne / Élevée / Très élevée / S.O.</v>
      </c>
      <c r="D309" s="1290">
        <f>BIBLE!L188</f>
        <v>2</v>
      </c>
      <c r="E309" s="20"/>
      <c r="F309" s="20"/>
      <c r="G309" s="20"/>
      <c r="H309" s="20"/>
      <c r="I309" s="20"/>
      <c r="J309" s="20">
        <v>1</v>
      </c>
      <c r="K309" s="20"/>
      <c r="L309" s="20"/>
      <c r="M309" s="20"/>
      <c r="N309" s="20"/>
      <c r="O309" s="20"/>
      <c r="P309" s="1561">
        <f>'TEST_pour PROTOTYPE'!D284</f>
        <v>7</v>
      </c>
      <c r="Q309" s="24">
        <f t="shared" si="117"/>
        <v>14</v>
      </c>
      <c r="R309" s="8" t="str">
        <f>IF(BIBLE!K188=0,"",BIBLE!K188)</f>
        <v/>
      </c>
      <c r="S309" s="40"/>
      <c r="T309" s="40"/>
      <c r="U309" s="40"/>
      <c r="V309" s="6">
        <f t="shared" si="129"/>
        <v>14</v>
      </c>
      <c r="W309" s="273"/>
      <c r="X309" s="6">
        <f t="shared" si="131"/>
        <v>0</v>
      </c>
      <c r="Y309" s="6">
        <f t="shared" si="131"/>
        <v>2</v>
      </c>
      <c r="Z309" s="6">
        <f t="shared" si="131"/>
        <v>4</v>
      </c>
      <c r="AA309" s="6">
        <f t="shared" si="131"/>
        <v>8</v>
      </c>
      <c r="AB309" s="6">
        <f t="shared" si="131"/>
        <v>14</v>
      </c>
      <c r="AC309" s="6">
        <f t="shared" si="131"/>
        <v>20</v>
      </c>
      <c r="AE309" s="477"/>
      <c r="AF309" s="38"/>
      <c r="AG309" s="38"/>
      <c r="AH309" s="22">
        <f>$V309*BIBLE!S188</f>
        <v>7</v>
      </c>
      <c r="AI309" s="22">
        <f>$V309*BIBLE!T188</f>
        <v>7</v>
      </c>
      <c r="AJ309" s="22">
        <f>$V309*BIBLE!U188</f>
        <v>0</v>
      </c>
      <c r="AK309" s="1236">
        <f>$V309*BIBLE!W188</f>
        <v>0</v>
      </c>
      <c r="AL309" s="1236">
        <f>$V309*BIBLE!X188</f>
        <v>0</v>
      </c>
      <c r="AM309" s="1236">
        <f>$V309*BIBLE!Y188</f>
        <v>0</v>
      </c>
      <c r="AN309" s="1236">
        <f>$V309*BIBLE!Z188</f>
        <v>0</v>
      </c>
      <c r="AO309" s="1236">
        <f>$V309*BIBLE!AA188</f>
        <v>0</v>
      </c>
      <c r="AP309" s="1236">
        <f>$V309*BIBLE!AB188</f>
        <v>0</v>
      </c>
      <c r="AQ309" s="1236">
        <f>$V309*BIBLE!AC188</f>
        <v>14</v>
      </c>
      <c r="AR309" s="1236">
        <f>$V309*BIBLE!AD188</f>
        <v>0</v>
      </c>
    </row>
    <row r="310" spans="1:44" s="7" customFormat="1" ht="63" customHeight="1" x14ac:dyDescent="0.2">
      <c r="A310" s="1199" t="str">
        <f>BIBLE!E189</f>
        <v>E26</v>
      </c>
      <c r="B310" s="133" t="str">
        <f>BIBLE!F189</f>
        <v>Le comportement ou l'attitude de votre enfant change en présence de l’autre parent.</v>
      </c>
      <c r="C310" s="463" t="str">
        <f>BIBLE!O189</f>
        <v xml:space="preserve">Jamais / Rarement / Occasionnellement / Régulièrement / Souvent / Toujours / S.O. </v>
      </c>
      <c r="D310" s="1290">
        <f>BIBLE!L189</f>
        <v>2</v>
      </c>
      <c r="E310" s="20"/>
      <c r="F310" s="20"/>
      <c r="G310" s="20"/>
      <c r="H310" s="20"/>
      <c r="I310" s="20"/>
      <c r="J310" s="20">
        <v>1</v>
      </c>
      <c r="K310" s="20"/>
      <c r="L310" s="20"/>
      <c r="M310" s="20"/>
      <c r="N310" s="20"/>
      <c r="O310" s="20"/>
      <c r="P310" s="1561">
        <f>'TEST_pour PROTOTYPE'!D285</f>
        <v>7</v>
      </c>
      <c r="Q310" s="24">
        <f t="shared" si="117"/>
        <v>14</v>
      </c>
      <c r="R310" s="8">
        <f>IF(BIBLE!K189=0,"",BIBLE!K189)</f>
        <v>2</v>
      </c>
      <c r="S310" s="41"/>
      <c r="T310" s="41"/>
      <c r="U310" s="41"/>
      <c r="V310" s="6">
        <f t="shared" si="129"/>
        <v>14</v>
      </c>
      <c r="W310" s="273"/>
      <c r="X310" s="6">
        <f t="shared" si="131"/>
        <v>0</v>
      </c>
      <c r="Y310" s="6">
        <f t="shared" si="131"/>
        <v>2</v>
      </c>
      <c r="Z310" s="6">
        <f t="shared" si="131"/>
        <v>4</v>
      </c>
      <c r="AA310" s="6">
        <f t="shared" si="131"/>
        <v>8</v>
      </c>
      <c r="AB310" s="6">
        <f t="shared" si="131"/>
        <v>14</v>
      </c>
      <c r="AC310" s="6">
        <f t="shared" si="131"/>
        <v>20</v>
      </c>
      <c r="AE310" s="477"/>
      <c r="AF310" s="38"/>
      <c r="AG310" s="38"/>
      <c r="AH310" s="22">
        <f>$V310*BIBLE!S189</f>
        <v>7</v>
      </c>
      <c r="AI310" s="22">
        <f>$V310*BIBLE!T189</f>
        <v>7</v>
      </c>
      <c r="AJ310" s="22">
        <f>$V310*BIBLE!U189</f>
        <v>0</v>
      </c>
      <c r="AK310" s="1236">
        <f>$V310*BIBLE!W189</f>
        <v>0</v>
      </c>
      <c r="AL310" s="1236">
        <f>$V310*BIBLE!X189</f>
        <v>0</v>
      </c>
      <c r="AM310" s="1236">
        <f>$V310*BIBLE!Y189</f>
        <v>0</v>
      </c>
      <c r="AN310" s="1236">
        <f>$V310*BIBLE!Z189</f>
        <v>0</v>
      </c>
      <c r="AO310" s="1236">
        <f>$V310*BIBLE!AA189</f>
        <v>0</v>
      </c>
      <c r="AP310" s="1236">
        <f>$V310*BIBLE!AB189</f>
        <v>0</v>
      </c>
      <c r="AQ310" s="1236">
        <f>$V310*BIBLE!AC189</f>
        <v>0</v>
      </c>
      <c r="AR310" s="1236">
        <f>$V310*BIBLE!AD189</f>
        <v>14</v>
      </c>
    </row>
    <row r="311" spans="1:44" s="7" customFormat="1" ht="63" customHeight="1" x14ac:dyDescent="0.2">
      <c r="A311" s="1199" t="str">
        <f>BIBLE!E190</f>
        <v>E12</v>
      </c>
      <c r="B311" s="467" t="str">
        <f>IF(AND(P59&gt;=3,P310&gt;=R310),BIBLE!F190,"")</f>
        <v xml:space="preserve">Est-il déjà arrivé que votre enfant dénigre vos compétences parentales devant l’autre parent ? </v>
      </c>
      <c r="C311" s="463" t="str">
        <f>BIBLE!O190</f>
        <v xml:space="preserve">Jamais / Rarement / Occasionnellement / Régulièrement / Souvent / Toujours / S.O. </v>
      </c>
      <c r="D311" s="1290">
        <f>IF(E40&lt;=10,BIBLE!M190,BIBLE!L190)</f>
        <v>3</v>
      </c>
      <c r="E311" s="20"/>
      <c r="F311" s="20">
        <v>1</v>
      </c>
      <c r="G311" s="20"/>
      <c r="H311" s="20"/>
      <c r="I311" s="20"/>
      <c r="J311" s="20"/>
      <c r="K311" s="20"/>
      <c r="L311" s="20"/>
      <c r="M311" s="20"/>
      <c r="N311" s="20"/>
      <c r="O311" s="20"/>
      <c r="P311" s="1561">
        <f>'TEST_pour PROTOTYPE'!D286</f>
        <v>1</v>
      </c>
      <c r="Q311" s="24">
        <f>P311*D311</f>
        <v>3</v>
      </c>
      <c r="R311" s="8" t="str">
        <f>IF(BIBLE!K190=0,"",BIBLE!K190)</f>
        <v/>
      </c>
      <c r="S311" s="40"/>
      <c r="T311" s="40"/>
      <c r="U311" s="40"/>
      <c r="V311" s="6">
        <f t="shared" si="129"/>
        <v>3</v>
      </c>
      <c r="W311" s="273"/>
      <c r="X311" s="6">
        <f t="shared" ref="X311:AC311" si="132">IF($Q311&gt;0,X$109*$D311,0)</f>
        <v>0</v>
      </c>
      <c r="Y311" s="6">
        <f t="shared" si="132"/>
        <v>3</v>
      </c>
      <c r="Z311" s="6">
        <f t="shared" si="132"/>
        <v>6</v>
      </c>
      <c r="AA311" s="6">
        <f t="shared" si="132"/>
        <v>12</v>
      </c>
      <c r="AB311" s="6">
        <f t="shared" si="132"/>
        <v>21</v>
      </c>
      <c r="AC311" s="6">
        <f t="shared" si="132"/>
        <v>30</v>
      </c>
      <c r="AE311" s="477"/>
      <c r="AF311" s="38"/>
      <c r="AG311" s="38"/>
      <c r="AH311" s="22">
        <f>$V311*BIBLE!S190</f>
        <v>0</v>
      </c>
      <c r="AI311" s="22">
        <f>$V311*BIBLE!T190</f>
        <v>0</v>
      </c>
      <c r="AJ311" s="22">
        <f>$V311*BIBLE!U190</f>
        <v>3</v>
      </c>
      <c r="AK311" s="1236">
        <f>$V311*BIBLE!W190</f>
        <v>0</v>
      </c>
      <c r="AL311" s="1236">
        <f>$V311*BIBLE!X190</f>
        <v>0</v>
      </c>
      <c r="AM311" s="1236">
        <f>$V311*BIBLE!Y190</f>
        <v>0</v>
      </c>
      <c r="AN311" s="1236">
        <f>$V311*BIBLE!Z190</f>
        <v>3</v>
      </c>
      <c r="AO311" s="1236">
        <f>$V311*BIBLE!AA190</f>
        <v>0</v>
      </c>
      <c r="AP311" s="1236">
        <f>$V311*BIBLE!AB190</f>
        <v>0</v>
      </c>
      <c r="AQ311" s="1236">
        <f>$V311*BIBLE!AC190</f>
        <v>0</v>
      </c>
      <c r="AR311" s="1236">
        <f>$V311*BIBLE!AD190</f>
        <v>0</v>
      </c>
    </row>
    <row r="312" spans="1:44" s="7" customFormat="1" ht="63" customHeight="1" x14ac:dyDescent="0.2">
      <c r="A312" s="1199" t="str">
        <f>BIBLE!E191</f>
        <v>E27</v>
      </c>
      <c r="B312" s="133" t="str">
        <f>BIBLE!F191</f>
        <v>Dans quelle mesure notez-vous un changement au niveau du comportement de votre enfant à son retour de garde ?</v>
      </c>
      <c r="C312" s="463" t="str">
        <f>BIBLE!O191</f>
        <v xml:space="preserve">Jamais / Rarement / Occasionnellement / Régulièrement / Souvent / Toujours / S.O. </v>
      </c>
      <c r="D312" s="1290">
        <f>BIBLE!L191</f>
        <v>2</v>
      </c>
      <c r="E312" s="20"/>
      <c r="F312" s="20"/>
      <c r="G312" s="20"/>
      <c r="H312" s="20">
        <v>1</v>
      </c>
      <c r="I312" s="20"/>
      <c r="J312" s="20"/>
      <c r="K312" s="20"/>
      <c r="L312" s="20"/>
      <c r="M312" s="20"/>
      <c r="N312" s="20"/>
      <c r="O312" s="20"/>
      <c r="P312" s="1561">
        <f>'TEST_pour PROTOTYPE'!D287</f>
        <v>2</v>
      </c>
      <c r="Q312" s="24">
        <f t="shared" si="117"/>
        <v>4</v>
      </c>
      <c r="R312" s="8">
        <f>IF(BIBLE!K191=0,"",BIBLE!K191)</f>
        <v>4</v>
      </c>
      <c r="S312" s="41"/>
      <c r="T312" s="41"/>
      <c r="U312" s="41"/>
      <c r="V312" s="6">
        <f>IF(P312&gt;=R312,IF(Q312&gt;Q320,Q312,Q320),Q312)</f>
        <v>4</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477"/>
      <c r="AF312" s="38"/>
      <c r="AG312" s="38"/>
      <c r="AH312" s="22">
        <f>IF($Q312=$V312,$Q312*BIBLE!S191,$Q320*BIBLE!S193)</f>
        <v>4</v>
      </c>
      <c r="AI312" s="22">
        <f>IF($Q312=$V312,$Q312*BIBLE!T191,$Q320*BIBLE!T193)</f>
        <v>0</v>
      </c>
      <c r="AJ312" s="22">
        <f>IF($Q312=$V312,$Q312*BIBLE!U191,$Q320*BIBLE!U193)</f>
        <v>0</v>
      </c>
      <c r="AK312" s="1236">
        <f>IF($Q312=$V312,$Q312*BIBLE!W191,$Q320*BIBLE!W193)</f>
        <v>0</v>
      </c>
      <c r="AL312" s="1236">
        <f>IF($Q312=$V312,$Q312*BIBLE!X191,$Q320*BIBLE!X193)</f>
        <v>0</v>
      </c>
      <c r="AM312" s="1236">
        <f>IF($Q312=$V312,$Q312*BIBLE!Y191,$Q320*BIBLE!Y193)</f>
        <v>0</v>
      </c>
      <c r="AN312" s="1236">
        <f>IF($Q312=$V312,$Q312*BIBLE!Z191,$Q320*BIBLE!Z193)</f>
        <v>0</v>
      </c>
      <c r="AO312" s="1236">
        <f>IF($Q312=$V312,$Q312*BIBLE!AA191,$Q320*BIBLE!AA193)</f>
        <v>0</v>
      </c>
      <c r="AP312" s="1236">
        <f>IF($Q312=$V312,$Q312*BIBLE!AB191,$Q320*BIBLE!AB193)</f>
        <v>0</v>
      </c>
      <c r="AQ312" s="1236">
        <f>IF($Q312=$V312,$Q312*BIBLE!AC191,$Q320*BIBLE!AC193)</f>
        <v>0</v>
      </c>
      <c r="AR312" s="1236">
        <f>IF($Q312=$V312,$Q312*BIBLE!AD191,$Q320*BIBLE!AD193)</f>
        <v>4</v>
      </c>
    </row>
    <row r="313" spans="1:44" s="7" customFormat="1" ht="32" customHeight="1" x14ac:dyDescent="0.2">
      <c r="A313" s="1199" t="str">
        <f>BIBLE!E192</f>
        <v>E27a</v>
      </c>
      <c r="B313" s="134" t="str">
        <f>IF(P312&gt;=R312,BIBLE!F192,"")</f>
        <v/>
      </c>
      <c r="C313" s="22"/>
      <c r="D313" s="1290">
        <f>BIBLE!L192</f>
        <v>0</v>
      </c>
      <c r="E313" s="20"/>
      <c r="F313" s="20"/>
      <c r="G313" s="1595"/>
      <c r="H313" s="1595"/>
      <c r="I313" s="1595"/>
      <c r="J313" s="1595"/>
      <c r="K313" s="1595"/>
      <c r="L313" s="1595"/>
      <c r="M313" s="1595"/>
      <c r="N313" s="1595"/>
      <c r="O313" s="1595"/>
      <c r="P313" s="1502">
        <f>'TEST_pour PROTOTYPE'!D288</f>
        <v>0</v>
      </c>
      <c r="Q313" s="24"/>
      <c r="R313" s="8" t="str">
        <f>IF(BIBLE!K192=0,"",BIBLE!K192)</f>
        <v/>
      </c>
      <c r="S313" s="41"/>
      <c r="T313" s="41"/>
      <c r="U313" s="41"/>
      <c r="V313" s="6"/>
      <c r="W313" s="273"/>
      <c r="X313" s="6"/>
      <c r="Y313" s="6"/>
      <c r="Z313" s="6"/>
      <c r="AA313" s="6"/>
      <c r="AB313" s="6"/>
      <c r="AC313" s="6"/>
      <c r="AE313" s="477"/>
      <c r="AF313" s="38"/>
      <c r="AG313" s="38"/>
      <c r="AH313" s="69"/>
      <c r="AI313" s="69"/>
      <c r="AJ313" s="69"/>
      <c r="AK313" s="683"/>
      <c r="AL313" s="683"/>
      <c r="AM313" s="683"/>
      <c r="AN313" s="683"/>
      <c r="AO313" s="683"/>
      <c r="AP313" s="683"/>
      <c r="AQ313" s="683"/>
      <c r="AR313" s="683"/>
    </row>
    <row r="314" spans="1:44" s="7" customFormat="1" ht="23" customHeight="1" x14ac:dyDescent="0.2">
      <c r="A314" s="1199"/>
      <c r="B314" s="137" t="str">
        <f>IF(P312&gt;=R312,"Calme","")</f>
        <v/>
      </c>
      <c r="C314" s="22"/>
      <c r="D314" s="1736">
        <v>1</v>
      </c>
      <c r="E314" s="37" t="str">
        <f>IF(P$313=D314,1,"x")</f>
        <v>x</v>
      </c>
      <c r="F314" s="20"/>
      <c r="P314" s="24"/>
      <c r="Q314" s="24"/>
      <c r="R314" s="8" t="str">
        <f>IF(BIBLE!K206=0,"",BIBLE!K206)</f>
        <v/>
      </c>
      <c r="S314" s="41"/>
      <c r="T314" s="41"/>
      <c r="U314" s="41"/>
      <c r="V314" s="6"/>
      <c r="W314" s="273"/>
      <c r="X314" s="6"/>
      <c r="Y314" s="6"/>
      <c r="Z314" s="6"/>
      <c r="AA314" s="6"/>
      <c r="AB314" s="6"/>
      <c r="AC314" s="6"/>
      <c r="AE314" s="477"/>
      <c r="AF314" s="38"/>
      <c r="AG314" s="38"/>
      <c r="AH314" s="69"/>
      <c r="AI314" s="69"/>
      <c r="AJ314" s="69"/>
      <c r="AK314" s="683"/>
      <c r="AL314" s="683"/>
      <c r="AM314" s="683"/>
      <c r="AN314" s="683"/>
      <c r="AO314" s="683"/>
      <c r="AP314" s="683"/>
      <c r="AQ314" s="683"/>
      <c r="AR314" s="683"/>
    </row>
    <row r="315" spans="1:44" s="7" customFormat="1" ht="23" customHeight="1" x14ac:dyDescent="0.2">
      <c r="A315" s="1199"/>
      <c r="B315" s="137" t="str">
        <f>IF(P312&gt;=R312,"Neutre","")</f>
        <v/>
      </c>
      <c r="C315" s="22"/>
      <c r="D315" s="1736">
        <v>2</v>
      </c>
      <c r="E315" s="37" t="str">
        <f t="shared" ref="E315:E319" si="134">IF(P$313=D315,1,"x")</f>
        <v>x</v>
      </c>
      <c r="F315" s="20"/>
      <c r="P315" s="24"/>
      <c r="Q315" s="24"/>
      <c r="R315" s="8" t="str">
        <f>IF(BIBLE!K207=0,"",BIBLE!K207)</f>
        <v/>
      </c>
      <c r="S315" s="41"/>
      <c r="T315" s="41"/>
      <c r="U315" s="41"/>
      <c r="V315" s="6"/>
      <c r="W315" s="273"/>
      <c r="X315" s="6"/>
      <c r="Y315" s="6"/>
      <c r="Z315" s="6"/>
      <c r="AA315" s="6"/>
      <c r="AB315" s="6"/>
      <c r="AC315" s="6"/>
      <c r="AE315" s="477"/>
      <c r="AF315" s="38"/>
      <c r="AG315" s="38"/>
      <c r="AH315" s="69"/>
      <c r="AI315" s="69"/>
      <c r="AJ315" s="69"/>
      <c r="AK315" s="683"/>
      <c r="AL315" s="683"/>
      <c r="AM315" s="683"/>
      <c r="AN315" s="683"/>
      <c r="AO315" s="683"/>
      <c r="AP315" s="683"/>
      <c r="AQ315" s="683"/>
      <c r="AR315" s="683"/>
    </row>
    <row r="316" spans="1:44" s="7" customFormat="1" ht="23" customHeight="1" x14ac:dyDescent="0.2">
      <c r="A316" s="1199"/>
      <c r="B316" s="137" t="str">
        <f>IF(P312&gt;=R312,"Enjoué.e","")</f>
        <v/>
      </c>
      <c r="C316" s="22"/>
      <c r="D316" s="1736">
        <v>3</v>
      </c>
      <c r="E316" s="37" t="str">
        <f t="shared" si="134"/>
        <v>x</v>
      </c>
      <c r="F316" s="20"/>
      <c r="P316" s="24"/>
      <c r="Q316" s="24"/>
      <c r="R316" s="8" t="str">
        <f>IF(BIBLE!K211=0,"",BIBLE!K211)</f>
        <v/>
      </c>
      <c r="S316" s="41"/>
      <c r="T316" s="41"/>
      <c r="U316" s="41"/>
      <c r="V316" s="6"/>
      <c r="W316" s="273"/>
      <c r="X316" s="6"/>
      <c r="Y316" s="6"/>
      <c r="Z316" s="6"/>
      <c r="AA316" s="6"/>
      <c r="AB316" s="6"/>
      <c r="AC316" s="6"/>
      <c r="AE316" s="477"/>
      <c r="AF316" s="38"/>
      <c r="AG316" s="38"/>
      <c r="AH316" s="69"/>
      <c r="AI316" s="69"/>
      <c r="AJ316" s="69"/>
      <c r="AK316" s="683"/>
      <c r="AL316" s="683"/>
      <c r="AM316" s="683"/>
      <c r="AN316" s="683"/>
      <c r="AO316" s="683"/>
      <c r="AP316" s="683"/>
      <c r="AQ316" s="683"/>
      <c r="AR316" s="683"/>
    </row>
    <row r="317" spans="1:44" s="7" customFormat="1" ht="23" customHeight="1" x14ac:dyDescent="0.2">
      <c r="A317" s="1199"/>
      <c r="B317" s="137" t="str">
        <f>IF(P312&gt;=R312,"Taciturne","")</f>
        <v/>
      </c>
      <c r="C317" s="22"/>
      <c r="D317" s="1736">
        <v>4</v>
      </c>
      <c r="E317" s="37" t="str">
        <f t="shared" si="134"/>
        <v>x</v>
      </c>
      <c r="F317" s="20"/>
      <c r="P317" s="24"/>
      <c r="Q317" s="24"/>
      <c r="R317" s="8" t="str">
        <f>IF(BIBLE!K212=0,"",BIBLE!K212)</f>
        <v/>
      </c>
      <c r="S317" s="41"/>
      <c r="T317" s="41"/>
      <c r="U317" s="41"/>
      <c r="V317" s="6"/>
      <c r="W317" s="273"/>
      <c r="X317" s="6"/>
      <c r="Y317" s="6"/>
      <c r="Z317" s="6"/>
      <c r="AA317" s="6"/>
      <c r="AB317" s="6"/>
      <c r="AC317" s="6"/>
      <c r="AE317" s="477"/>
      <c r="AF317" s="38"/>
      <c r="AG317" s="38"/>
      <c r="AH317" s="69"/>
      <c r="AI317" s="69"/>
      <c r="AJ317" s="69"/>
      <c r="AK317" s="683"/>
      <c r="AL317" s="683"/>
      <c r="AM317" s="683"/>
      <c r="AN317" s="683"/>
      <c r="AO317" s="683"/>
      <c r="AP317" s="683"/>
      <c r="AQ317" s="683"/>
      <c r="AR317" s="683"/>
    </row>
    <row r="318" spans="1:44" s="7" customFormat="1" ht="23" customHeight="1" x14ac:dyDescent="0.2">
      <c r="A318" s="1199"/>
      <c r="B318" s="137" t="str">
        <f>IF(P312&gt;=R312,"Anxieux","")</f>
        <v/>
      </c>
      <c r="C318" s="22"/>
      <c r="D318" s="1736">
        <v>5</v>
      </c>
      <c r="E318" s="37" t="str">
        <f t="shared" si="134"/>
        <v>x</v>
      </c>
      <c r="F318" s="20"/>
      <c r="P318" s="24"/>
      <c r="Q318" s="24"/>
      <c r="R318" s="8" t="str">
        <f>IF(BIBLE!K213=0,"",BIBLE!K213)</f>
        <v/>
      </c>
      <c r="S318" s="41"/>
      <c r="T318" s="41"/>
      <c r="U318" s="41"/>
      <c r="V318" s="6"/>
      <c r="W318" s="273"/>
      <c r="X318" s="6"/>
      <c r="Y318" s="6"/>
      <c r="Z318" s="6"/>
      <c r="AA318" s="6"/>
      <c r="AB318" s="6"/>
      <c r="AC318" s="6"/>
      <c r="AE318" s="477"/>
      <c r="AF318" s="38"/>
      <c r="AG318" s="38"/>
      <c r="AH318" s="69"/>
      <c r="AI318" s="69"/>
      <c r="AJ318" s="69"/>
      <c r="AK318" s="683"/>
      <c r="AL318" s="683"/>
      <c r="AM318" s="683"/>
      <c r="AN318" s="683"/>
      <c r="AO318" s="683"/>
      <c r="AP318" s="683"/>
      <c r="AQ318" s="683"/>
      <c r="AR318" s="683"/>
    </row>
    <row r="319" spans="1:44" s="7" customFormat="1" ht="23" customHeight="1" x14ac:dyDescent="0.2">
      <c r="A319" s="1199"/>
      <c r="B319" s="137" t="str">
        <f>IF(P312&gt;=R312,"Agressif","")</f>
        <v/>
      </c>
      <c r="C319" s="22"/>
      <c r="D319" s="1736">
        <v>6</v>
      </c>
      <c r="E319" s="37" t="str">
        <f t="shared" si="134"/>
        <v>x</v>
      </c>
      <c r="F319" s="20"/>
      <c r="P319" s="24"/>
      <c r="Q319" s="24"/>
      <c r="R319" s="8" t="str">
        <f>IF(BIBLE!K214=0,"",BIBLE!K214)</f>
        <v/>
      </c>
      <c r="S319" s="41"/>
      <c r="T319" s="41"/>
      <c r="U319" s="41"/>
      <c r="V319" s="6"/>
      <c r="W319" s="273"/>
      <c r="X319" s="6"/>
      <c r="Y319" s="6"/>
      <c r="Z319" s="6"/>
      <c r="AA319" s="6"/>
      <c r="AB319" s="6"/>
      <c r="AC319" s="6"/>
      <c r="AE319" s="477"/>
      <c r="AF319" s="38"/>
      <c r="AG319" s="38"/>
      <c r="AH319" s="69"/>
      <c r="AI319" s="69"/>
      <c r="AJ319" s="69"/>
      <c r="AK319" s="683"/>
      <c r="AL319" s="683"/>
      <c r="AM319" s="683"/>
      <c r="AN319" s="683"/>
      <c r="AO319" s="683"/>
      <c r="AP319" s="683"/>
      <c r="AQ319" s="683"/>
      <c r="AR319" s="683"/>
    </row>
    <row r="320" spans="1:44" s="7" customFormat="1" ht="62" customHeight="1" x14ac:dyDescent="0.2">
      <c r="A320" s="1199" t="str">
        <f>BIBLE!E193</f>
        <v>E27a1</v>
      </c>
      <c r="B320" s="134" t="str">
        <f>IF(P313&gt;=1,BIBLE!F193,"")</f>
        <v/>
      </c>
      <c r="C320" s="22" t="str">
        <f>IF(BIBLE!H193=0,"",BIBLE!H193)</f>
        <v/>
      </c>
      <c r="D320" s="1290">
        <f>BIBLE!L193</f>
        <v>3</v>
      </c>
      <c r="E320" s="20"/>
      <c r="F320" s="20"/>
      <c r="G320" s="1596"/>
      <c r="H320" s="1596"/>
      <c r="I320" s="1596"/>
      <c r="J320" s="1596"/>
      <c r="K320" s="1596"/>
      <c r="L320" s="1596"/>
      <c r="M320" s="1596"/>
      <c r="N320" s="1596"/>
      <c r="O320" s="1596"/>
      <c r="P320" s="1561">
        <f>'TEST_pour PROTOTYPE'!D289</f>
        <v>0</v>
      </c>
      <c r="Q320" s="24">
        <f>P320*D320</f>
        <v>0</v>
      </c>
      <c r="R320" s="8" t="str">
        <f>IF(BIBLE!K193=0,"",BIBLE!K193)</f>
        <v/>
      </c>
      <c r="S320" s="41"/>
      <c r="T320" s="41"/>
      <c r="U320" s="41"/>
      <c r="V320" s="6"/>
      <c r="W320" s="273"/>
      <c r="X320" s="6"/>
      <c r="Y320" s="6"/>
      <c r="Z320" s="6"/>
      <c r="AA320" s="6"/>
      <c r="AB320" s="6"/>
      <c r="AC320" s="6"/>
      <c r="AE320" s="477"/>
      <c r="AF320" s="38"/>
      <c r="AG320" s="38"/>
      <c r="AH320" s="69"/>
      <c r="AI320" s="69"/>
      <c r="AJ320" s="69"/>
      <c r="AK320" s="683"/>
      <c r="AL320" s="683"/>
      <c r="AM320" s="683"/>
      <c r="AN320" s="683"/>
      <c r="AO320" s="683"/>
      <c r="AP320" s="683"/>
      <c r="AQ320" s="683"/>
      <c r="AR320" s="683"/>
    </row>
    <row r="321" spans="1:61" s="7" customFormat="1" ht="60" customHeight="1" x14ac:dyDescent="0.2">
      <c r="A321" s="1199" t="str">
        <f>BIBLE!E194</f>
        <v>E28</v>
      </c>
      <c r="B321" s="133" t="str">
        <f>BIBLE!F194</f>
        <v>Votre enfant s'isole ou se cache (ex.: chambre ou toilettes) pour appeler l'autre parent afin qu'on n'entende pas ses conversations.</v>
      </c>
      <c r="C321" s="463" t="str">
        <f>BIBLE!O194</f>
        <v xml:space="preserve">Jamais / Rarement / Occasionnellement / Régulièrement / Souvent / Toujours / S.O. </v>
      </c>
      <c r="D321" s="1290">
        <f>BIBLE!L194</f>
        <v>2</v>
      </c>
      <c r="E321" s="20"/>
      <c r="F321" s="20"/>
      <c r="G321" s="20"/>
      <c r="H321" s="20">
        <v>1</v>
      </c>
      <c r="I321" s="20"/>
      <c r="J321" s="20"/>
      <c r="K321" s="20"/>
      <c r="L321" s="20"/>
      <c r="M321" s="20"/>
      <c r="N321" s="20"/>
      <c r="O321" s="20"/>
      <c r="P321" s="1561">
        <f>'TEST_pour PROTOTYPE'!D290</f>
        <v>2</v>
      </c>
      <c r="Q321" s="24">
        <f t="shared" ref="Q321:Q328" si="135">P321*D321</f>
        <v>4</v>
      </c>
      <c r="R321" s="8" t="str">
        <f>IF(BIBLE!K194=0,"",BIBLE!K194)</f>
        <v/>
      </c>
      <c r="S321" s="41"/>
      <c r="T321" s="41"/>
      <c r="U321" s="41"/>
      <c r="V321" s="6">
        <f>Q321</f>
        <v>4</v>
      </c>
      <c r="W321" s="273"/>
      <c r="X321" s="6">
        <f t="shared" ref="X321:AC321" si="136">IF($Q321&gt;0,X$109*$D321,0)</f>
        <v>0</v>
      </c>
      <c r="Y321" s="6">
        <f t="shared" si="136"/>
        <v>2</v>
      </c>
      <c r="Z321" s="6">
        <f t="shared" si="136"/>
        <v>4</v>
      </c>
      <c r="AA321" s="6">
        <f t="shared" si="136"/>
        <v>8</v>
      </c>
      <c r="AB321" s="6">
        <f t="shared" si="136"/>
        <v>14</v>
      </c>
      <c r="AC321" s="6">
        <f t="shared" si="136"/>
        <v>20</v>
      </c>
      <c r="AE321" s="477"/>
      <c r="AF321" s="38"/>
      <c r="AG321" s="38"/>
      <c r="AH321" s="22">
        <f>$V321*BIBLE!S194</f>
        <v>4</v>
      </c>
      <c r="AI321" s="22">
        <f>$V321*BIBLE!T194</f>
        <v>0</v>
      </c>
      <c r="AJ321" s="22">
        <f>$V321*BIBLE!U194</f>
        <v>0</v>
      </c>
      <c r="AK321" s="1236">
        <f>$V321*BIBLE!W194</f>
        <v>0</v>
      </c>
      <c r="AL321" s="1236">
        <f>$V321*BIBLE!X194</f>
        <v>0</v>
      </c>
      <c r="AM321" s="1236">
        <f>$V321*BIBLE!Y194</f>
        <v>0</v>
      </c>
      <c r="AN321" s="1236">
        <f>$V321*BIBLE!Z194</f>
        <v>0</v>
      </c>
      <c r="AO321" s="1236">
        <f>$V321*BIBLE!AA194</f>
        <v>0</v>
      </c>
      <c r="AP321" s="1236">
        <f>$V321*BIBLE!AB194</f>
        <v>0</v>
      </c>
      <c r="AQ321" s="1236">
        <f>$V321*BIBLE!AC194</f>
        <v>0</v>
      </c>
      <c r="AR321" s="1236">
        <f>$V321*BIBLE!AD194</f>
        <v>4</v>
      </c>
    </row>
    <row r="322" spans="1:61" s="7" customFormat="1" ht="45" customHeight="1" x14ac:dyDescent="0.2">
      <c r="A322" s="1199" t="str">
        <f>BIBLE!E195</f>
        <v>E29</v>
      </c>
      <c r="B322" s="133" t="str">
        <f>BIBLE!F195</f>
        <v>Dans quelle mesure diriez-vous que votre enfant adapte ses champs d’intérêts pour partager les intérêts de l’autre parent ?</v>
      </c>
      <c r="C322" s="463" t="str">
        <f>BIBLE!O195</f>
        <v>Pas du tout / Très peu / Un peu / Moyennement / Grandement / Totalement / S.O.</v>
      </c>
      <c r="D322" s="1290">
        <f>BIBLE!L195</f>
        <v>2</v>
      </c>
      <c r="E322" s="20"/>
      <c r="F322" s="20"/>
      <c r="G322" s="20">
        <v>1</v>
      </c>
      <c r="H322" s="20"/>
      <c r="I322" s="20"/>
      <c r="J322" s="20"/>
      <c r="K322" s="20"/>
      <c r="L322" s="20"/>
      <c r="M322" s="20"/>
      <c r="N322" s="20"/>
      <c r="O322" s="20"/>
      <c r="P322" s="1561">
        <f>'TEST_pour PROTOTYPE'!D291</f>
        <v>1</v>
      </c>
      <c r="Q322" s="24">
        <f t="shared" si="135"/>
        <v>2</v>
      </c>
      <c r="R322" s="8">
        <f>IF(BIBLE!K195=0,"",BIBLE!K195)</f>
        <v>4</v>
      </c>
      <c r="S322" s="41"/>
      <c r="T322" s="41"/>
      <c r="U322" s="41"/>
      <c r="V322" s="6">
        <f>IF(P322&gt;=R322,IF(Q322&gt;Q323,Q322,Q323),Q322)</f>
        <v>2</v>
      </c>
      <c r="W322" s="8"/>
      <c r="X322" s="6">
        <f t="shared" ref="X322:AC322" si="137">IF(($P322&gt;=$R322),IF($Q322&gt;$Q323,X$109*$D322,X$109*$D323),X$109*$D322)</f>
        <v>0</v>
      </c>
      <c r="Y322" s="6">
        <f t="shared" si="137"/>
        <v>2</v>
      </c>
      <c r="Z322" s="6">
        <f t="shared" si="137"/>
        <v>4</v>
      </c>
      <c r="AA322" s="6">
        <f t="shared" si="137"/>
        <v>8</v>
      </c>
      <c r="AB322" s="6">
        <f t="shared" si="137"/>
        <v>14</v>
      </c>
      <c r="AC322" s="6">
        <f t="shared" si="137"/>
        <v>20</v>
      </c>
      <c r="AE322" s="477"/>
      <c r="AF322" s="38"/>
      <c r="AG322" s="38"/>
      <c r="AH322" s="22">
        <f>IF($Q322=$V322,$Q322*BIBLE!S195,$Q323*BIBLE!S196)</f>
        <v>2</v>
      </c>
      <c r="AI322" s="22">
        <f>IF($Q322=$V322,$Q322*BIBLE!T195,$Q323*BIBLE!T196)</f>
        <v>0</v>
      </c>
      <c r="AJ322" s="22">
        <f>IF($Q322=$V322,$Q322*BIBLE!U195,$Q323*BIBLE!U196)</f>
        <v>0</v>
      </c>
      <c r="AK322" s="1236">
        <f>IF($Q322=$V322,$Q322*BIBLE!W195,$Q323*BIBLE!W196)</f>
        <v>0</v>
      </c>
      <c r="AL322" s="1236">
        <f>IF($Q322=$V322,$Q322*BIBLE!X195,$Q323*BIBLE!X196)</f>
        <v>0</v>
      </c>
      <c r="AM322" s="1236">
        <f>IF($Q322=$V322,$Q322*BIBLE!Y195,$Q323*BIBLE!Y196)</f>
        <v>0</v>
      </c>
      <c r="AN322" s="1236">
        <f>IF($Q322=$V322,$Q322*BIBLE!Z195,$Q323*BIBLE!Z196)</f>
        <v>0</v>
      </c>
      <c r="AO322" s="1236">
        <f>IF($Q322=$V322,$Q322*BIBLE!AA195,$Q323*BIBLE!AA196)</f>
        <v>0</v>
      </c>
      <c r="AP322" s="1236">
        <f>IF($Q322=$V322,$Q322*BIBLE!AB195,$Q323*BIBLE!AB196)</f>
        <v>0</v>
      </c>
      <c r="AQ322" s="1236">
        <f>IF($Q322=$V322,$Q322*BIBLE!AC195,$Q323*BIBLE!AC196)</f>
        <v>0</v>
      </c>
      <c r="AR322" s="1236">
        <f>IF($Q322=$V322,$Q322*BIBLE!AD195,$Q323*BIBLE!AD196)</f>
        <v>2</v>
      </c>
    </row>
    <row r="323" spans="1:61" s="7" customFormat="1" ht="45" customHeight="1" x14ac:dyDescent="0.2">
      <c r="A323" s="1199" t="str">
        <f>BIBLE!E196</f>
        <v>E29a</v>
      </c>
      <c r="B323" s="134" t="str">
        <f>IF(P322&gt;=R322,BIBLE!F196,"")</f>
        <v/>
      </c>
      <c r="C323" s="463" t="str">
        <f>BIBLE!O196</f>
        <v>Pas du tout / Très peu / Un peu / Moyennement / Grandement / Totalement / S.O.</v>
      </c>
      <c r="D323" s="1290">
        <f>BIBLE!L196</f>
        <v>3</v>
      </c>
      <c r="E323" s="20"/>
      <c r="F323" s="20"/>
      <c r="G323" s="20"/>
      <c r="H323" s="20"/>
      <c r="I323" s="20"/>
      <c r="J323" s="20"/>
      <c r="K323" s="20"/>
      <c r="L323" s="20"/>
      <c r="M323" s="20"/>
      <c r="N323" s="20"/>
      <c r="O323" s="20"/>
      <c r="P323" s="1561">
        <f>'TEST_pour PROTOTYPE'!D292</f>
        <v>0</v>
      </c>
      <c r="Q323" s="24">
        <f>P323*D323</f>
        <v>0</v>
      </c>
      <c r="R323" s="8" t="str">
        <f>IF(BIBLE!K196=0,"",BIBLE!K196)</f>
        <v/>
      </c>
      <c r="S323" s="41"/>
      <c r="T323" s="41"/>
      <c r="U323" s="41"/>
      <c r="V323" s="6"/>
      <c r="W323" s="273"/>
      <c r="X323" s="6"/>
      <c r="Y323" s="6"/>
      <c r="Z323" s="6"/>
      <c r="AA323" s="6"/>
      <c r="AB323" s="6"/>
      <c r="AC323" s="6"/>
      <c r="AE323" s="477"/>
      <c r="AF323" s="38"/>
      <c r="AG323" s="38"/>
      <c r="AH323" s="69"/>
      <c r="AI323" s="69"/>
      <c r="AJ323" s="69"/>
      <c r="AK323" s="683"/>
      <c r="AL323" s="683"/>
      <c r="AM323" s="683"/>
      <c r="AN323" s="683"/>
      <c r="AO323" s="683"/>
      <c r="AP323" s="683"/>
      <c r="AQ323" s="683"/>
      <c r="AR323" s="683"/>
    </row>
    <row r="324" spans="1:61" s="7" customFormat="1" ht="70" customHeight="1" x14ac:dyDescent="0.2">
      <c r="A324" s="1199" t="str">
        <f>BIBLE!E197</f>
        <v>E30</v>
      </c>
      <c r="B324" s="133" t="str">
        <f>IF(AND(P53&gt;=R53,P68&gt;=2),BIBLE!F197,"")</f>
        <v/>
      </c>
      <c r="C324" s="463" t="str">
        <f>BIBLE!O197</f>
        <v xml:space="preserve">Jamais / Rarement / Occasionnellement / Régulièrement / Souvent / Toujours / S.O. </v>
      </c>
      <c r="D324" s="1290">
        <f>IF(E40&gt;=8,BIBLE!L197,BIBLE!M197)</f>
        <v>2</v>
      </c>
      <c r="E324" s="20"/>
      <c r="F324" s="20"/>
      <c r="G324" s="20"/>
      <c r="H324" s="20">
        <v>1</v>
      </c>
      <c r="I324" s="20"/>
      <c r="J324" s="20"/>
      <c r="K324" s="20"/>
      <c r="L324" s="20"/>
      <c r="M324" s="20"/>
      <c r="N324" s="20"/>
      <c r="O324" s="20"/>
      <c r="P324" s="1561">
        <f>'TEST_pour PROTOTYPE'!D293</f>
        <v>0</v>
      </c>
      <c r="Q324" s="24">
        <f t="shared" si="135"/>
        <v>0</v>
      </c>
      <c r="R324" s="8" t="str">
        <f>IF(BIBLE!K197=0,"",BIBLE!K197)</f>
        <v/>
      </c>
      <c r="S324" s="41"/>
      <c r="T324" s="41"/>
      <c r="U324" s="41"/>
      <c r="V324" s="6">
        <f>Q324</f>
        <v>0</v>
      </c>
      <c r="W324" s="273"/>
      <c r="X324" s="6">
        <f t="shared" ref="X324:AC325" si="138">IF($Q324&gt;0,X$109*$D324,0)</f>
        <v>0</v>
      </c>
      <c r="Y324" s="6">
        <f t="shared" si="138"/>
        <v>0</v>
      </c>
      <c r="Z324" s="6">
        <f t="shared" si="138"/>
        <v>0</v>
      </c>
      <c r="AA324" s="6">
        <f t="shared" si="138"/>
        <v>0</v>
      </c>
      <c r="AB324" s="6">
        <f t="shared" si="138"/>
        <v>0</v>
      </c>
      <c r="AC324" s="6">
        <f t="shared" si="138"/>
        <v>0</v>
      </c>
      <c r="AE324" s="477"/>
      <c r="AF324" s="38"/>
      <c r="AG324" s="38"/>
      <c r="AH324" s="22">
        <f>$V324*BIBLE!S197</f>
        <v>0</v>
      </c>
      <c r="AI324" s="22">
        <f>$V324*BIBLE!T197</f>
        <v>0</v>
      </c>
      <c r="AJ324" s="22">
        <f>$V324*BIBLE!U197</f>
        <v>0</v>
      </c>
      <c r="AK324" s="1236">
        <f>$V324*BIBLE!W197</f>
        <v>0</v>
      </c>
      <c r="AL324" s="1236">
        <f>$V324*BIBLE!X197</f>
        <v>0</v>
      </c>
      <c r="AM324" s="1236">
        <f>$V324*BIBLE!Y197</f>
        <v>0</v>
      </c>
      <c r="AN324" s="1236">
        <f>$V324*BIBLE!Z197</f>
        <v>0</v>
      </c>
      <c r="AO324" s="1236">
        <f>$V324*BIBLE!AA197</f>
        <v>0</v>
      </c>
      <c r="AP324" s="1236">
        <f>$V324*BIBLE!AB197</f>
        <v>0</v>
      </c>
      <c r="AQ324" s="1236">
        <f>$V324*BIBLE!AC197</f>
        <v>0</v>
      </c>
      <c r="AR324" s="1236">
        <f>$V324*BIBLE!AD197</f>
        <v>0</v>
      </c>
    </row>
    <row r="325" spans="1:61" s="7" customFormat="1" ht="49" customHeight="1" x14ac:dyDescent="0.2">
      <c r="A325" s="1199" t="str">
        <f>BIBLE!E198</f>
        <v>E32</v>
      </c>
      <c r="B325" s="133" t="str">
        <f>IF(AND($P$269&gt;=$R$269,$B$289=""),BIBLE!F198,"")</f>
        <v/>
      </c>
      <c r="C325" s="463" t="str">
        <f>BIBLE!O198</f>
        <v xml:space="preserve">Jamais / Rarement / Occasionnellement / Régulièrement / Souvent / Toujours / S.O. </v>
      </c>
      <c r="D325" s="1290">
        <f>BIBLE!L198</f>
        <v>2</v>
      </c>
      <c r="E325" s="20"/>
      <c r="F325" s="20"/>
      <c r="G325" s="20"/>
      <c r="H325" s="20"/>
      <c r="I325" s="20"/>
      <c r="J325" s="20"/>
      <c r="K325" s="20"/>
      <c r="L325" s="20"/>
      <c r="M325" s="20"/>
      <c r="N325" s="20"/>
      <c r="O325" s="20"/>
      <c r="P325" s="1561">
        <f>'TEST_pour PROTOTYPE'!D294</f>
        <v>0</v>
      </c>
      <c r="Q325" s="24">
        <f t="shared" si="135"/>
        <v>0</v>
      </c>
      <c r="R325" s="8" t="str">
        <f>IF(BIBLE!K198=0,"",BIBLE!K198)</f>
        <v/>
      </c>
      <c r="S325" s="41"/>
      <c r="T325" s="41"/>
      <c r="U325" s="41"/>
      <c r="V325" s="6">
        <f>Q325</f>
        <v>0</v>
      </c>
      <c r="W325" s="273"/>
      <c r="X325" s="6">
        <f t="shared" si="138"/>
        <v>0</v>
      </c>
      <c r="Y325" s="6">
        <f t="shared" si="138"/>
        <v>0</v>
      </c>
      <c r="Z325" s="6">
        <f t="shared" si="138"/>
        <v>0</v>
      </c>
      <c r="AA325" s="6">
        <f t="shared" si="138"/>
        <v>0</v>
      </c>
      <c r="AB325" s="6">
        <f t="shared" si="138"/>
        <v>0</v>
      </c>
      <c r="AC325" s="6">
        <f t="shared" si="138"/>
        <v>0</v>
      </c>
      <c r="AE325" s="477"/>
      <c r="AF325" s="38"/>
      <c r="AG325" s="38"/>
      <c r="AH325" s="22">
        <f>$V325*BIBLE!S198</f>
        <v>0</v>
      </c>
      <c r="AI325" s="22">
        <f>$V325*BIBLE!T198</f>
        <v>0</v>
      </c>
      <c r="AJ325" s="22">
        <f>$V325*BIBLE!U198</f>
        <v>0</v>
      </c>
      <c r="AK325" s="1236">
        <f>$V325*BIBLE!W198</f>
        <v>0</v>
      </c>
      <c r="AL325" s="1236">
        <f>$V325*BIBLE!X198</f>
        <v>0</v>
      </c>
      <c r="AM325" s="1236">
        <f>$V325*BIBLE!Y198</f>
        <v>0</v>
      </c>
      <c r="AN325" s="1236">
        <f>$V325*BIBLE!Z198</f>
        <v>0</v>
      </c>
      <c r="AO325" s="1236">
        <f>$V325*BIBLE!AA198</f>
        <v>0</v>
      </c>
      <c r="AP325" s="1236">
        <f>$V325*BIBLE!AB198</f>
        <v>0</v>
      </c>
      <c r="AQ325" s="1236">
        <f>$V325*BIBLE!AC198</f>
        <v>0</v>
      </c>
      <c r="AR325" s="1236">
        <f>$V325*BIBLE!AD198</f>
        <v>0</v>
      </c>
      <c r="BB325" s="17" t="s">
        <v>449</v>
      </c>
    </row>
    <row r="326" spans="1:61" s="7" customFormat="1" ht="47" customHeight="1" x14ac:dyDescent="0.2">
      <c r="A326" s="1199" t="str">
        <f>BIBLE!E199</f>
        <v>E33</v>
      </c>
      <c r="B326" s="133" t="str">
        <f>IF(AND(P53&gt;=R53,P68&gt;=2),BIBLE!F199,"")</f>
        <v/>
      </c>
      <c r="C326" s="463" t="str">
        <f>BIBLE!O199</f>
        <v xml:space="preserve">Jamais / Rarement / Occasionnellement / Régulièrement / Souvent / Toujours / S.O. </v>
      </c>
      <c r="D326" s="1290">
        <f>BIBLE!L199</f>
        <v>3</v>
      </c>
      <c r="E326" s="20"/>
      <c r="F326" s="20"/>
      <c r="G326" s="20"/>
      <c r="H326" s="20"/>
      <c r="I326" s="20">
        <v>1</v>
      </c>
      <c r="J326" s="20"/>
      <c r="K326" s="20"/>
      <c r="L326" s="20"/>
      <c r="M326" s="20"/>
      <c r="N326" s="20"/>
      <c r="O326" s="20"/>
      <c r="P326" s="1561">
        <f>'TEST_pour PROTOTYPE'!D295</f>
        <v>0</v>
      </c>
      <c r="Q326" s="24">
        <f t="shared" si="135"/>
        <v>0</v>
      </c>
      <c r="R326" s="8">
        <f>IF(BIBLE!K199=0,"",BIBLE!K199)</f>
        <v>4</v>
      </c>
      <c r="S326" s="41"/>
      <c r="T326" s="41"/>
      <c r="U326" s="41"/>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477"/>
      <c r="AF326" s="38"/>
      <c r="AG326" s="38"/>
      <c r="AH326" s="22">
        <f>IF($Q326=$V326,$Q326*BIBLE!S199,(Test_Bible!$Q327*BIBLE!S200+Test_Bible!$Q328*BIBLE!S201))</f>
        <v>0</v>
      </c>
      <c r="AI326" s="22">
        <f>IF($Q326=$V326,$Q326*BIBLE!T199,(Test_Bible!$Q327*BIBLE!T200+Test_Bible!$Q328*BIBLE!T201))</f>
        <v>0</v>
      </c>
      <c r="AJ326" s="22">
        <f>IF($Q326=$V326,$Q326*BIBLE!U199,(Test_Bible!$Q327*BIBLE!U200+Test_Bible!$Q328*BIBLE!U201))</f>
        <v>0</v>
      </c>
      <c r="AK326" s="1236">
        <f>IF($Q326=$V326,$Q326*BIBLE!W199,(Test_Bible!$Q327*BIBLE!W200+Test_Bible!$Q328*BIBLE!W201))</f>
        <v>0</v>
      </c>
      <c r="AL326" s="1236">
        <f>IF($Q326=$V326,$Q326*BIBLE!X199,(Test_Bible!$Q327*BIBLE!X200+Test_Bible!$Q328*BIBLE!X201))</f>
        <v>0</v>
      </c>
      <c r="AM326" s="1236">
        <f>IF($Q326=$V326,$Q326*BIBLE!Y199,(Test_Bible!$Q327*BIBLE!Y200+Test_Bible!$Q328*BIBLE!Y201))</f>
        <v>0</v>
      </c>
      <c r="AN326" s="1236">
        <f>IF($Q326=$V326,$Q326*BIBLE!Z199,(Test_Bible!$Q327*BIBLE!Z200+Test_Bible!$Q328*BIBLE!Z201))</f>
        <v>0</v>
      </c>
      <c r="AO326" s="1236">
        <f>IF($Q326=$V326,$Q326*BIBLE!AA199,(Test_Bible!$Q327*BIBLE!AA200+Test_Bible!$Q328*BIBLE!AA201))</f>
        <v>0</v>
      </c>
      <c r="AP326" s="1236">
        <f>IF($Q326=$V326,$Q326*BIBLE!AB199,(Test_Bible!$Q327*BIBLE!AB200+Test_Bible!$Q328*BIBLE!AB201))</f>
        <v>0</v>
      </c>
      <c r="AQ326" s="1236">
        <f>IF($Q326=$V326,$Q326*BIBLE!AC199,(Test_Bible!$Q327*BIBLE!AC200+Test_Bible!$Q328*BIBLE!AC201))</f>
        <v>0</v>
      </c>
      <c r="AR326" s="1236">
        <f>IF($Q326=$V326,$Q326*BIBLE!AD199,(Test_Bible!$Q327*BIBLE!AD200+Test_Bible!$Q328*BIBLE!AD201))</f>
        <v>0</v>
      </c>
      <c r="AS326" s="6">
        <f>Q326</f>
        <v>0</v>
      </c>
      <c r="AT326" s="273"/>
      <c r="AU326" s="6">
        <f t="shared" ref="AU326:AZ328" si="140">IF($Q326&gt;0,X$109*$D326,0)</f>
        <v>0</v>
      </c>
      <c r="AV326" s="6">
        <f t="shared" si="140"/>
        <v>0</v>
      </c>
      <c r="AW326" s="6">
        <f t="shared" si="140"/>
        <v>0</v>
      </c>
      <c r="AX326" s="6">
        <f t="shared" si="140"/>
        <v>0</v>
      </c>
      <c r="AY326" s="6">
        <f t="shared" si="140"/>
        <v>0</v>
      </c>
      <c r="AZ326" s="6">
        <f t="shared" si="140"/>
        <v>0</v>
      </c>
      <c r="BB326" s="525">
        <f>AS326</f>
        <v>0</v>
      </c>
      <c r="BD326" s="525">
        <f t="shared" ref="BD326:BI326" si="141">AU326</f>
        <v>0</v>
      </c>
      <c r="BE326" s="525">
        <f t="shared" si="141"/>
        <v>0</v>
      </c>
      <c r="BF326" s="525">
        <f t="shared" si="141"/>
        <v>0</v>
      </c>
      <c r="BG326" s="525">
        <f t="shared" si="141"/>
        <v>0</v>
      </c>
      <c r="BH326" s="525">
        <f t="shared" si="141"/>
        <v>0</v>
      </c>
      <c r="BI326" s="525">
        <f t="shared" si="141"/>
        <v>0</v>
      </c>
    </row>
    <row r="327" spans="1:61" s="7" customFormat="1" ht="60" customHeight="1" x14ac:dyDescent="0.2">
      <c r="A327" s="1199" t="str">
        <f>BIBLE!E200</f>
        <v>E33a</v>
      </c>
      <c r="B327" s="134" t="str">
        <f>IF(P326&gt;=R326,BIBLE!F200,"")</f>
        <v/>
      </c>
      <c r="C327" s="463" t="str">
        <f>BIBLE!O200</f>
        <v xml:space="preserve">Jamais / Rarement / Occasionnellement / Régulièrement / Souvent / Toujours / S.O. </v>
      </c>
      <c r="D327" s="1290">
        <f>BIBLE!L200</f>
        <v>2</v>
      </c>
      <c r="E327" s="20"/>
      <c r="F327" s="20"/>
      <c r="G327" s="20"/>
      <c r="H327" s="20"/>
      <c r="I327" s="20"/>
      <c r="J327" s="20"/>
      <c r="K327" s="20"/>
      <c r="L327" s="20"/>
      <c r="M327" s="20"/>
      <c r="N327" s="20"/>
      <c r="O327" s="20"/>
      <c r="P327" s="1561">
        <f>'TEST_pour PROTOTYPE'!D296</f>
        <v>0</v>
      </c>
      <c r="Q327" s="24">
        <f t="shared" si="135"/>
        <v>0</v>
      </c>
      <c r="R327" s="8" t="str">
        <f>IF(BIBLE!K200=0,"",BIBLE!K200)</f>
        <v/>
      </c>
      <c r="S327" s="41"/>
      <c r="T327" s="41"/>
      <c r="U327" s="41"/>
      <c r="V327" s="8"/>
      <c r="AE327" s="477"/>
      <c r="AF327" s="38"/>
      <c r="AG327" s="38"/>
      <c r="AH327" s="69"/>
      <c r="AI327" s="69"/>
      <c r="AJ327" s="69"/>
      <c r="AK327" s="683"/>
      <c r="AL327" s="683"/>
      <c r="AM327" s="683"/>
      <c r="AN327" s="683"/>
      <c r="AO327" s="683"/>
      <c r="AP327" s="683"/>
      <c r="AQ327" s="683"/>
      <c r="AR327" s="683"/>
      <c r="AS327" s="6">
        <f>Q327</f>
        <v>0</v>
      </c>
      <c r="AT327" s="273"/>
      <c r="AU327" s="6">
        <f t="shared" si="140"/>
        <v>0</v>
      </c>
      <c r="AV327" s="6">
        <f t="shared" si="140"/>
        <v>0</v>
      </c>
      <c r="AW327" s="6">
        <f t="shared" si="140"/>
        <v>0</v>
      </c>
      <c r="AX327" s="6">
        <f t="shared" si="140"/>
        <v>0</v>
      </c>
      <c r="AY327" s="6">
        <f t="shared" si="140"/>
        <v>0</v>
      </c>
      <c r="AZ327" s="6">
        <f t="shared" si="140"/>
        <v>0</v>
      </c>
      <c r="BB327" s="525">
        <f>SUM(AS327:AS328)</f>
        <v>0</v>
      </c>
      <c r="BD327" s="525">
        <f t="shared" ref="BD327:BI327" si="142">SUM(AU327:AU328)</f>
        <v>0</v>
      </c>
      <c r="BE327" s="525">
        <f t="shared" si="142"/>
        <v>0</v>
      </c>
      <c r="BF327" s="525">
        <f t="shared" si="142"/>
        <v>0</v>
      </c>
      <c r="BG327" s="525">
        <f t="shared" si="142"/>
        <v>0</v>
      </c>
      <c r="BH327" s="525">
        <f t="shared" si="142"/>
        <v>0</v>
      </c>
      <c r="BI327" s="525">
        <f t="shared" si="142"/>
        <v>0</v>
      </c>
    </row>
    <row r="328" spans="1:61" s="7" customFormat="1" ht="68" customHeight="1" x14ac:dyDescent="0.2">
      <c r="A328" s="1199" t="str">
        <f>BIBLE!E201</f>
        <v>E33b</v>
      </c>
      <c r="B328" s="134" t="str">
        <f>IF(P326&gt;=R326,BIBLE!F201,"")</f>
        <v/>
      </c>
      <c r="C328" s="463" t="str">
        <f>BIBLE!O201</f>
        <v xml:space="preserve">Jamais / Rarement / Occasionnellement / Régulièrement / Souvent / Toujours / S.O. </v>
      </c>
      <c r="D328" s="1290">
        <f>BIBLE!L201</f>
        <v>3</v>
      </c>
      <c r="E328" s="20"/>
      <c r="F328" s="20"/>
      <c r="G328" s="20"/>
      <c r="H328" s="20"/>
      <c r="I328" s="20"/>
      <c r="J328" s="20"/>
      <c r="K328" s="20"/>
      <c r="L328" s="20"/>
      <c r="M328" s="20"/>
      <c r="N328" s="20"/>
      <c r="O328" s="20"/>
      <c r="P328" s="1561">
        <f>'TEST_pour PROTOTYPE'!D297</f>
        <v>0</v>
      </c>
      <c r="Q328" s="24">
        <f t="shared" si="135"/>
        <v>0</v>
      </c>
      <c r="R328" s="8" t="str">
        <f>IF(BIBLE!K201=0,"",BIBLE!K201)</f>
        <v/>
      </c>
      <c r="S328" s="41"/>
      <c r="T328" s="41"/>
      <c r="U328" s="41"/>
      <c r="V328" s="8"/>
      <c r="AE328" s="477"/>
      <c r="AF328" s="38"/>
      <c r="AG328" s="38"/>
      <c r="AH328" s="69"/>
      <c r="AI328" s="69"/>
      <c r="AJ328" s="69"/>
      <c r="AK328" s="683"/>
      <c r="AL328" s="683"/>
      <c r="AM328" s="683"/>
      <c r="AN328" s="683"/>
      <c r="AO328" s="683"/>
      <c r="AP328" s="683"/>
      <c r="AQ328" s="683"/>
      <c r="AR328" s="683"/>
      <c r="AS328" s="6">
        <f>Q328</f>
        <v>0</v>
      </c>
      <c r="AT328" s="273"/>
      <c r="AU328" s="6">
        <f t="shared" si="140"/>
        <v>0</v>
      </c>
      <c r="AV328" s="6">
        <f t="shared" si="140"/>
        <v>0</v>
      </c>
      <c r="AW328" s="6">
        <f t="shared" si="140"/>
        <v>0</v>
      </c>
      <c r="AX328" s="6">
        <f t="shared" si="140"/>
        <v>0</v>
      </c>
      <c r="AY328" s="6">
        <f t="shared" si="140"/>
        <v>0</v>
      </c>
      <c r="AZ328" s="6">
        <f t="shared" si="140"/>
        <v>0</v>
      </c>
    </row>
    <row r="329" spans="1:61" s="7" customFormat="1" ht="62" customHeight="1" x14ac:dyDescent="0.2">
      <c r="A329" s="1199" t="str">
        <f>BIBLE!E202</f>
        <v>E34</v>
      </c>
      <c r="B329" s="133" t="str">
        <f>IF(P59&gt;=3,BIBLE!F202,"")</f>
        <v xml:space="preserve">Votre enfant bloque les communications (tél., textos, réseaux sociaux, etc.). </v>
      </c>
      <c r="C329" s="463" t="str">
        <f>BIBLE!O202</f>
        <v xml:space="preserve">Jamais / Rarement / Occasionnellement / Régulièrement / Souvent / Toujours / S.O. </v>
      </c>
      <c r="D329" s="1290">
        <f>IF(E40&gt;=12,BIBLE!L202,BIBLE!M202)</f>
        <v>3</v>
      </c>
      <c r="E329" s="20"/>
      <c r="F329" s="20"/>
      <c r="G329" s="20"/>
      <c r="H329" s="52">
        <v>1</v>
      </c>
      <c r="I329" s="52"/>
      <c r="J329" s="52"/>
      <c r="K329" s="52"/>
      <c r="L329" s="52"/>
      <c r="M329" s="52"/>
      <c r="N329" s="20"/>
      <c r="O329" s="20"/>
      <c r="P329" s="1561">
        <f>'TEST_pour PROTOTYPE'!D298</f>
        <v>2</v>
      </c>
      <c r="Q329" s="24">
        <f>P329*D329</f>
        <v>6</v>
      </c>
      <c r="R329" s="8" t="str">
        <f>IF(BIBLE!K202=0,"",BIBLE!K202)</f>
        <v/>
      </c>
      <c r="S329" s="41"/>
      <c r="T329" s="41"/>
      <c r="U329" s="41"/>
      <c r="V329" s="6">
        <f>Q329</f>
        <v>6</v>
      </c>
      <c r="W329" s="273"/>
      <c r="X329" s="6">
        <f t="shared" ref="X329:AC329" si="143">IF($Q329&gt;0,X$109*$D329,0)</f>
        <v>0</v>
      </c>
      <c r="Y329" s="6">
        <f t="shared" si="143"/>
        <v>3</v>
      </c>
      <c r="Z329" s="6">
        <f t="shared" si="143"/>
        <v>6</v>
      </c>
      <c r="AA329" s="6">
        <f t="shared" si="143"/>
        <v>12</v>
      </c>
      <c r="AB329" s="6">
        <f t="shared" si="143"/>
        <v>21</v>
      </c>
      <c r="AC329" s="6">
        <f t="shared" si="143"/>
        <v>30</v>
      </c>
      <c r="AE329" s="477"/>
      <c r="AF329" s="38"/>
      <c r="AG329" s="38"/>
      <c r="AH329" s="22">
        <f>$V329*BIBLE!S202</f>
        <v>6</v>
      </c>
      <c r="AI329" s="22">
        <f>$V329*BIBLE!T202</f>
        <v>0</v>
      </c>
      <c r="AJ329" s="22">
        <f>$V329*BIBLE!U202</f>
        <v>0</v>
      </c>
      <c r="AK329" s="1236">
        <f>$V329*BIBLE!W202</f>
        <v>0</v>
      </c>
      <c r="AL329" s="1236">
        <f>$V329*BIBLE!X202</f>
        <v>0</v>
      </c>
      <c r="AM329" s="1236">
        <f>$V329*BIBLE!Y202</f>
        <v>0</v>
      </c>
      <c r="AN329" s="1236">
        <f>$V329*BIBLE!Z202</f>
        <v>0</v>
      </c>
      <c r="AO329" s="1236">
        <f>$V329*BIBLE!AA202</f>
        <v>0</v>
      </c>
      <c r="AP329" s="1236">
        <f>$V329*BIBLE!AB202</f>
        <v>0</v>
      </c>
      <c r="AQ329" s="1236">
        <f>$V329*BIBLE!AC202</f>
        <v>0</v>
      </c>
      <c r="AR329" s="1236">
        <f>$V329*BIBLE!AD202</f>
        <v>6</v>
      </c>
    </row>
    <row r="330" spans="1:61" s="7" customFormat="1" ht="59" customHeight="1" x14ac:dyDescent="0.2">
      <c r="A330" s="1199" t="str">
        <f>BIBLE!E203</f>
        <v>E35</v>
      </c>
      <c r="B330" s="133" t="str">
        <f>IF(P59&gt;=3,BIBLE!F203,"")</f>
        <v>Comment qualiferiez-vous la relation entre votre enfant et votre famille élargie  (cousin.es, grands-parents, etc.) ?</v>
      </c>
      <c r="C330" s="850" t="s">
        <v>1119</v>
      </c>
      <c r="D330" s="1655">
        <v>1</v>
      </c>
      <c r="E330" s="37" t="str">
        <f>IF(P$330=D330,1,"x")</f>
        <v>x</v>
      </c>
      <c r="F330" s="20"/>
      <c r="G330" s="20"/>
      <c r="H330" s="8"/>
      <c r="I330" s="1624"/>
      <c r="J330" s="1624"/>
      <c r="K330" s="1624"/>
      <c r="L330" s="1624"/>
      <c r="M330" s="1624"/>
      <c r="N330" s="20"/>
      <c r="O330" s="20"/>
      <c r="P330" s="1561">
        <f>'TEST_pour PROTOTYPE'!D299</f>
        <v>3</v>
      </c>
      <c r="Q330" s="24"/>
      <c r="R330" s="8"/>
      <c r="S330" s="41"/>
      <c r="T330" s="41"/>
      <c r="U330" s="41"/>
      <c r="V330" s="6"/>
      <c r="W330" s="8"/>
      <c r="X330" s="6"/>
      <c r="Y330" s="6"/>
      <c r="Z330" s="6"/>
      <c r="AA330" s="6"/>
      <c r="AB330" s="6"/>
      <c r="AC330" s="6"/>
      <c r="AE330" s="477"/>
      <c r="AF330" s="38"/>
      <c r="AG330" s="38"/>
      <c r="AH330" s="22"/>
      <c r="AI330" s="22"/>
      <c r="AJ330" s="22"/>
      <c r="AK330" s="1236"/>
      <c r="AL330" s="1236"/>
      <c r="AM330" s="1236"/>
      <c r="AN330" s="1236"/>
      <c r="AO330" s="1236"/>
      <c r="AP330" s="1236"/>
      <c r="AQ330" s="1236"/>
      <c r="AR330" s="1236"/>
    </row>
    <row r="331" spans="1:61" s="7" customFormat="1" ht="20" customHeight="1" x14ac:dyDescent="0.2">
      <c r="A331" s="1199"/>
      <c r="B331" s="133"/>
      <c r="C331" s="850" t="s">
        <v>1124</v>
      </c>
      <c r="D331" s="1655">
        <v>2</v>
      </c>
      <c r="E331" s="37" t="str">
        <f t="shared" ref="E331:E335" si="144">IF(P$330=D331,1,"x")</f>
        <v>x</v>
      </c>
      <c r="F331" s="20"/>
      <c r="G331" s="20"/>
      <c r="H331" s="8"/>
      <c r="I331" s="1624"/>
      <c r="J331" s="1624"/>
      <c r="K331" s="1624"/>
      <c r="L331" s="1624"/>
      <c r="M331" s="1624"/>
      <c r="N331" s="20"/>
      <c r="O331" s="20"/>
      <c r="P331" s="23"/>
      <c r="Q331" s="24"/>
      <c r="R331" s="8"/>
      <c r="S331" s="41"/>
      <c r="T331" s="41"/>
      <c r="U331" s="41"/>
      <c r="V331" s="6"/>
      <c r="W331" s="8"/>
      <c r="X331" s="6"/>
      <c r="Y331" s="6"/>
      <c r="Z331" s="6"/>
      <c r="AA331" s="6"/>
      <c r="AB331" s="6"/>
      <c r="AC331" s="6"/>
      <c r="AE331" s="477"/>
      <c r="AF331" s="38"/>
      <c r="AG331" s="38"/>
      <c r="AH331" s="22"/>
      <c r="AI331" s="22"/>
      <c r="AJ331" s="22"/>
      <c r="AK331" s="1236"/>
      <c r="AL331" s="1236"/>
      <c r="AM331" s="1236"/>
      <c r="AN331" s="1236"/>
      <c r="AO331" s="1236"/>
      <c r="AP331" s="1236"/>
      <c r="AQ331" s="1236"/>
      <c r="AR331" s="1236"/>
    </row>
    <row r="332" spans="1:61" s="7" customFormat="1" ht="20" customHeight="1" x14ac:dyDescent="0.2">
      <c r="A332" s="1199"/>
      <c r="B332" s="133"/>
      <c r="C332" s="850" t="s">
        <v>1120</v>
      </c>
      <c r="D332" s="1655">
        <v>3</v>
      </c>
      <c r="E332" s="37">
        <f t="shared" si="144"/>
        <v>1</v>
      </c>
      <c r="F332" s="20"/>
      <c r="G332" s="20"/>
      <c r="H332" s="8"/>
      <c r="I332" s="1624"/>
      <c r="J332" s="1624"/>
      <c r="K332" s="1624"/>
      <c r="L332" s="1624"/>
      <c r="M332" s="1624"/>
      <c r="N332" s="20"/>
      <c r="O332" s="20"/>
      <c r="P332" s="23"/>
      <c r="Q332" s="24"/>
      <c r="R332" s="8"/>
      <c r="S332" s="41"/>
      <c r="T332" s="41"/>
      <c r="U332" s="41"/>
      <c r="V332" s="6"/>
      <c r="W332" s="8"/>
      <c r="X332" s="6"/>
      <c r="Y332" s="6"/>
      <c r="Z332" s="6"/>
      <c r="AA332" s="6"/>
      <c r="AB332" s="6"/>
      <c r="AC332" s="6"/>
      <c r="AE332" s="477"/>
      <c r="AF332" s="38"/>
      <c r="AG332" s="38"/>
      <c r="AH332" s="22"/>
      <c r="AI332" s="22"/>
      <c r="AJ332" s="22"/>
      <c r="AK332" s="1236"/>
      <c r="AL332" s="1236"/>
      <c r="AM332" s="1236"/>
      <c r="AN332" s="1236"/>
      <c r="AO332" s="1236"/>
      <c r="AP332" s="1236"/>
      <c r="AQ332" s="1236"/>
      <c r="AR332" s="1236"/>
    </row>
    <row r="333" spans="1:61" s="7" customFormat="1" ht="20" customHeight="1" x14ac:dyDescent="0.2">
      <c r="A333" s="1199"/>
      <c r="B333" s="133"/>
      <c r="C333" s="850" t="s">
        <v>1121</v>
      </c>
      <c r="D333" s="1655">
        <v>4</v>
      </c>
      <c r="E333" s="37" t="str">
        <f t="shared" si="144"/>
        <v>x</v>
      </c>
      <c r="F333" s="20"/>
      <c r="G333" s="20"/>
      <c r="H333" s="8"/>
      <c r="I333" s="1623"/>
      <c r="J333" s="1623"/>
      <c r="K333" s="1623"/>
      <c r="L333" s="1623"/>
      <c r="M333" s="1623"/>
      <c r="N333" s="20"/>
      <c r="O333" s="20"/>
      <c r="P333" s="23"/>
      <c r="Q333" s="24"/>
      <c r="R333" s="8"/>
      <c r="S333" s="41"/>
      <c r="T333" s="41"/>
      <c r="U333" s="41"/>
      <c r="V333" s="6"/>
      <c r="W333" s="8"/>
      <c r="X333" s="6"/>
      <c r="Y333" s="6"/>
      <c r="Z333" s="6"/>
      <c r="AA333" s="6"/>
      <c r="AB333" s="6"/>
      <c r="AC333" s="6"/>
      <c r="AE333" s="477"/>
      <c r="AF333" s="38"/>
      <c r="AG333" s="38"/>
      <c r="AH333" s="22"/>
      <c r="AI333" s="22"/>
      <c r="AJ333" s="22"/>
      <c r="AK333" s="1236"/>
      <c r="AL333" s="1236"/>
      <c r="AM333" s="1236"/>
      <c r="AN333" s="1236"/>
      <c r="AO333" s="1236"/>
      <c r="AP333" s="1236"/>
      <c r="AQ333" s="1236"/>
      <c r="AR333" s="1236"/>
    </row>
    <row r="334" spans="1:61" s="7" customFormat="1" ht="20" customHeight="1" x14ac:dyDescent="0.2">
      <c r="A334" s="1199"/>
      <c r="B334" s="133"/>
      <c r="C334" s="850" t="s">
        <v>1122</v>
      </c>
      <c r="D334" s="1655">
        <v>5</v>
      </c>
      <c r="E334" s="37" t="str">
        <f t="shared" si="144"/>
        <v>x</v>
      </c>
      <c r="F334" s="20"/>
      <c r="G334" s="20"/>
      <c r="H334" s="8"/>
      <c r="I334" s="1623"/>
      <c r="J334" s="1623"/>
      <c r="K334" s="1623"/>
      <c r="L334" s="1623"/>
      <c r="M334" s="1623"/>
      <c r="N334" s="20"/>
      <c r="O334" s="20"/>
      <c r="P334" s="23"/>
      <c r="Q334" s="24"/>
      <c r="R334" s="8"/>
      <c r="S334" s="41"/>
      <c r="T334" s="41"/>
      <c r="U334" s="41"/>
      <c r="V334" s="6"/>
      <c r="W334" s="8"/>
      <c r="X334" s="6"/>
      <c r="Y334" s="6"/>
      <c r="Z334" s="6"/>
      <c r="AA334" s="6"/>
      <c r="AB334" s="6"/>
      <c r="AC334" s="6"/>
      <c r="AE334" s="477"/>
      <c r="AF334" s="38"/>
      <c r="AG334" s="38"/>
      <c r="AH334" s="22"/>
      <c r="AI334" s="22"/>
      <c r="AJ334" s="22"/>
      <c r="AK334" s="1236"/>
      <c r="AL334" s="1236"/>
      <c r="AM334" s="1236"/>
      <c r="AN334" s="1236"/>
      <c r="AO334" s="1236"/>
      <c r="AP334" s="1236"/>
      <c r="AQ334" s="1236"/>
      <c r="AR334" s="1236"/>
    </row>
    <row r="335" spans="1:61" s="7" customFormat="1" ht="20" customHeight="1" x14ac:dyDescent="0.2">
      <c r="A335" s="1199"/>
      <c r="B335" s="133"/>
      <c r="C335" s="850" t="s">
        <v>1123</v>
      </c>
      <c r="D335" s="1655">
        <v>6</v>
      </c>
      <c r="E335" s="37" t="str">
        <f t="shared" si="144"/>
        <v>x</v>
      </c>
      <c r="F335" s="20"/>
      <c r="G335" s="20"/>
      <c r="H335" s="8"/>
      <c r="I335" s="1623"/>
      <c r="J335" s="1623"/>
      <c r="K335" s="1623"/>
      <c r="L335" s="1623"/>
      <c r="M335" s="1623"/>
      <c r="N335" s="20"/>
      <c r="O335" s="20"/>
      <c r="P335" s="23"/>
      <c r="Q335" s="24"/>
      <c r="R335" s="8"/>
      <c r="S335" s="41"/>
      <c r="T335" s="41"/>
      <c r="U335" s="41"/>
      <c r="V335" s="6"/>
      <c r="W335" s="8"/>
      <c r="X335" s="6"/>
      <c r="Y335" s="6"/>
      <c r="Z335" s="6"/>
      <c r="AA335" s="6"/>
      <c r="AB335" s="6"/>
      <c r="AC335" s="6"/>
      <c r="AE335" s="477"/>
      <c r="AF335" s="38"/>
      <c r="AG335" s="38"/>
      <c r="AH335" s="22"/>
      <c r="AI335" s="22"/>
      <c r="AJ335" s="22"/>
      <c r="AK335" s="1236"/>
      <c r="AL335" s="1236"/>
      <c r="AM335" s="1236"/>
      <c r="AN335" s="1236"/>
      <c r="AO335" s="1236"/>
      <c r="AP335" s="1236"/>
      <c r="AQ335" s="1236"/>
      <c r="AR335" s="1236"/>
    </row>
    <row r="336" spans="1:61" s="7" customFormat="1" ht="65" customHeight="1" x14ac:dyDescent="0.2">
      <c r="A336" s="1199" t="str">
        <f>BIBLE!E204</f>
        <v>E35a</v>
      </c>
      <c r="B336" s="134" t="str">
        <f>IF(P330&gt;=3,BIBLE!F204,"")</f>
        <v>Dans quelle mesure diriez-vous que votre enfant accepte les contacts avec votre famille élargie  (cousin.es, grands-parents, etc.) ?</v>
      </c>
      <c r="C336" s="463" t="str">
        <f>BIBLE!O204</f>
        <v xml:space="preserve">Jamais / Rarement / Occasionnellement / Régulièrement / Souvent / Toujours / S.O. </v>
      </c>
      <c r="D336" s="1290">
        <f>BIBLE!L204</f>
        <v>1</v>
      </c>
      <c r="E336" s="20">
        <v>1</v>
      </c>
      <c r="F336" s="20"/>
      <c r="G336" s="20"/>
      <c r="H336" s="8"/>
      <c r="I336" s="1623"/>
      <c r="J336" s="1623"/>
      <c r="K336" s="1623"/>
      <c r="L336" s="1623"/>
      <c r="M336" s="1623"/>
      <c r="N336" s="20"/>
      <c r="O336" s="20"/>
      <c r="P336" s="1561">
        <f>'TEST_pour PROTOTYPE'!D300</f>
        <v>0</v>
      </c>
      <c r="Q336" s="24">
        <f>P336*D336</f>
        <v>0</v>
      </c>
      <c r="R336" s="8"/>
      <c r="S336" s="41"/>
      <c r="T336" s="41"/>
      <c r="U336" s="41"/>
      <c r="V336" s="6"/>
      <c r="W336" s="273"/>
      <c r="X336" s="6"/>
      <c r="Y336" s="6"/>
      <c r="Z336" s="6"/>
      <c r="AA336" s="6"/>
      <c r="AB336" s="6"/>
      <c r="AC336" s="6"/>
      <c r="AE336" s="477"/>
      <c r="AF336" s="38"/>
      <c r="AG336" s="38"/>
      <c r="AH336" s="22"/>
      <c r="AI336" s="22"/>
      <c r="AJ336" s="22"/>
      <c r="AK336" s="1236"/>
      <c r="AL336" s="1236"/>
      <c r="AM336" s="1236"/>
      <c r="AN336" s="1236"/>
      <c r="AO336" s="1236"/>
      <c r="AP336" s="1236"/>
      <c r="AQ336" s="1236"/>
      <c r="AR336" s="1236"/>
    </row>
    <row r="337" spans="1:44" s="7" customFormat="1" ht="41" customHeight="1" x14ac:dyDescent="0.2">
      <c r="A337" s="1199" t="str">
        <f>BIBLE!E205</f>
        <v>E35b</v>
      </c>
      <c r="B337" s="134" t="str">
        <f>IF(P330&gt;=3,BIBLE!F205,"")</f>
        <v>Comment était la relation de votre enfant avec la famille élargie avant la séparation ?</v>
      </c>
      <c r="C337" s="463" t="str">
        <f>BIBLE!O205</f>
        <v xml:space="preserve">Excellente / Très bonne / Bonne / Moyenne / Faible / Mauvaise / S.O.   </v>
      </c>
      <c r="D337" s="1290">
        <f>BIBLE!L205</f>
        <v>1</v>
      </c>
      <c r="E337" s="20"/>
      <c r="F337" s="20">
        <v>1</v>
      </c>
      <c r="G337" s="20"/>
      <c r="H337" s="8"/>
      <c r="I337" s="1623"/>
      <c r="J337" s="1623"/>
      <c r="K337" s="1623"/>
      <c r="L337" s="1623"/>
      <c r="M337" s="1623"/>
      <c r="N337" s="20"/>
      <c r="O337" s="20"/>
      <c r="P337" s="1561">
        <f>'TEST_pour PROTOTYPE'!D301</f>
        <v>0</v>
      </c>
      <c r="Q337" s="24">
        <f>P337*D337</f>
        <v>0</v>
      </c>
      <c r="R337" s="8" t="str">
        <f>IF(BIBLE!K210=0,"",BIBLE!K210)</f>
        <v/>
      </c>
      <c r="S337" s="41"/>
      <c r="T337" s="41"/>
      <c r="U337" s="41"/>
      <c r="V337" s="6"/>
      <c r="W337" s="273"/>
      <c r="X337" s="6"/>
      <c r="Y337" s="6"/>
      <c r="Z337" s="6"/>
      <c r="AA337" s="6"/>
      <c r="AB337" s="6"/>
      <c r="AC337" s="6"/>
      <c r="AE337" s="477"/>
      <c r="AF337" s="38"/>
      <c r="AG337" s="38"/>
      <c r="AH337" s="22"/>
      <c r="AI337" s="22"/>
      <c r="AJ337" s="22"/>
      <c r="AK337" s="1236"/>
      <c r="AL337" s="1236"/>
      <c r="AM337" s="1236"/>
      <c r="AN337" s="1236"/>
      <c r="AO337" s="1236"/>
      <c r="AP337" s="1236"/>
      <c r="AQ337" s="1236"/>
      <c r="AR337" s="1236"/>
    </row>
    <row r="338" spans="1:44" s="7" customFormat="1" ht="40" customHeight="1" x14ac:dyDescent="0.2">
      <c r="A338" s="1199" t="str">
        <f>BIBLE!E206</f>
        <v>E36</v>
      </c>
      <c r="B338" s="133" t="str">
        <f>BIBLE!F206</f>
        <v>Est-ce que votre enfant présente des troubles psychosomatiques en ce moment?</v>
      </c>
      <c r="C338" s="100" t="s">
        <v>230</v>
      </c>
      <c r="D338" s="1655">
        <v>1</v>
      </c>
      <c r="E338" s="37">
        <f>IF(P$338=D338,1,"x")</f>
        <v>1</v>
      </c>
      <c r="F338" s="41"/>
      <c r="G338" s="47"/>
      <c r="H338" s="47"/>
      <c r="I338" s="47"/>
      <c r="J338" s="47"/>
      <c r="K338" s="19"/>
      <c r="L338" s="19"/>
      <c r="M338" s="19"/>
      <c r="N338" s="20"/>
      <c r="O338" s="20"/>
      <c r="P338" s="1561">
        <f>'TEST_pour PROTOTYPE'!D302</f>
        <v>1</v>
      </c>
      <c r="Q338" s="24"/>
      <c r="R338" s="8" t="str">
        <f>IF(BIBLE!K206=0,"",BIBLE!K206)</f>
        <v/>
      </c>
      <c r="S338" s="41"/>
      <c r="T338" s="41"/>
      <c r="U338" s="41"/>
      <c r="V338" s="498"/>
      <c r="W338" s="41"/>
      <c r="X338" s="8"/>
      <c r="Y338" s="8"/>
      <c r="Z338" s="8"/>
      <c r="AA338" s="8"/>
      <c r="AB338" s="8"/>
      <c r="AC338" s="8"/>
      <c r="AE338" s="477"/>
      <c r="AF338" s="38"/>
      <c r="AG338" s="38"/>
      <c r="AH338" s="69"/>
      <c r="AI338" s="69"/>
      <c r="AJ338" s="69"/>
      <c r="AK338" s="683"/>
      <c r="AL338" s="683"/>
      <c r="AM338" s="683"/>
      <c r="AN338" s="683"/>
      <c r="AO338" s="683"/>
      <c r="AP338" s="683"/>
      <c r="AQ338" s="683"/>
      <c r="AR338" s="683"/>
    </row>
    <row r="339" spans="1:44" s="7" customFormat="1" ht="18" customHeight="1" x14ac:dyDescent="0.2">
      <c r="A339" s="1199"/>
      <c r="C339" s="100" t="s">
        <v>231</v>
      </c>
      <c r="D339" s="1656">
        <v>0</v>
      </c>
      <c r="E339" s="37" t="str">
        <f>IF(P$338=D339,1,"x")</f>
        <v>x</v>
      </c>
      <c r="F339" s="41"/>
      <c r="G339" s="47"/>
      <c r="H339" s="47"/>
      <c r="I339" s="47"/>
      <c r="J339" s="47"/>
      <c r="K339" s="8"/>
      <c r="L339" s="8"/>
      <c r="M339" s="8"/>
      <c r="N339" s="8"/>
      <c r="O339" s="8"/>
      <c r="P339" s="23"/>
      <c r="Q339" s="24"/>
      <c r="R339" s="8"/>
      <c r="S339" s="41"/>
      <c r="T339" s="41"/>
      <c r="U339" s="41"/>
      <c r="V339" s="498"/>
      <c r="W339" s="41"/>
      <c r="X339" s="8"/>
      <c r="Y339" s="8"/>
      <c r="Z339" s="8"/>
      <c r="AA339" s="8"/>
      <c r="AB339" s="8"/>
      <c r="AC339" s="8"/>
      <c r="AE339" s="477"/>
      <c r="AF339" s="38"/>
      <c r="AG339" s="38"/>
      <c r="AH339" s="69"/>
      <c r="AI339" s="69"/>
      <c r="AJ339" s="69"/>
      <c r="AK339" s="683"/>
      <c r="AL339" s="683"/>
      <c r="AM339" s="683"/>
      <c r="AN339" s="683"/>
      <c r="AO339" s="683"/>
      <c r="AP339" s="683"/>
      <c r="AQ339" s="683"/>
      <c r="AR339" s="683"/>
    </row>
    <row r="340" spans="1:44" s="7" customFormat="1" ht="48" customHeight="1" x14ac:dyDescent="0.2">
      <c r="A340" s="1199"/>
      <c r="B340" s="284" t="str">
        <f>IF($E$338=1,BIBLE!F207,"")</f>
        <v>Quelles sont les manifestations ou troubles psychosomatiques présents chez votre enfant et à quelle fréquence?</v>
      </c>
      <c r="C340" s="100"/>
      <c r="D340" s="1290">
        <f>BIBLE!L207</f>
        <v>1</v>
      </c>
      <c r="E340" s="438"/>
      <c r="F340" s="522">
        <f>$F$52</f>
        <v>0</v>
      </c>
      <c r="G340" s="522">
        <f>$G$52</f>
        <v>1</v>
      </c>
      <c r="H340" s="522">
        <f>$H$52</f>
        <v>2</v>
      </c>
      <c r="I340" s="522">
        <f>$I$52</f>
        <v>4</v>
      </c>
      <c r="J340" s="522">
        <f>$J$52</f>
        <v>7</v>
      </c>
      <c r="K340" s="522">
        <f>$K$52</f>
        <v>10</v>
      </c>
      <c r="L340" s="17"/>
      <c r="M340" s="17"/>
      <c r="N340" s="17"/>
      <c r="O340" s="17"/>
      <c r="P340" s="23"/>
      <c r="Q340" s="23"/>
      <c r="S340" s="41"/>
      <c r="T340" s="41"/>
      <c r="U340" s="41"/>
      <c r="V340" s="498"/>
      <c r="W340" s="41"/>
      <c r="X340" s="8"/>
      <c r="Y340" s="8"/>
      <c r="Z340" s="8"/>
      <c r="AA340" s="8"/>
      <c r="AB340" s="8"/>
      <c r="AC340" s="8"/>
      <c r="AE340" s="477"/>
      <c r="AF340" s="38"/>
      <c r="AG340" s="38"/>
      <c r="AH340" s="69"/>
      <c r="AI340" s="69"/>
      <c r="AJ340" s="69"/>
      <c r="AK340" s="683"/>
      <c r="AL340" s="683"/>
      <c r="AM340" s="683"/>
      <c r="AN340" s="683"/>
      <c r="AO340" s="683"/>
      <c r="AP340" s="683"/>
      <c r="AQ340" s="683"/>
      <c r="AR340" s="683"/>
    </row>
    <row r="341" spans="1:44" s="8" customFormat="1" ht="17" customHeight="1" x14ac:dyDescent="0.2">
      <c r="A341" s="1199" t="s">
        <v>318</v>
      </c>
      <c r="B341" s="137" t="str">
        <f>IF($E$338=1,"insomnie","")</f>
        <v>insomnie</v>
      </c>
      <c r="C341" s="100"/>
      <c r="D341" s="1655">
        <v>1</v>
      </c>
      <c r="E341" s="523"/>
      <c r="F341" s="523"/>
      <c r="G341" s="523"/>
      <c r="H341" s="523"/>
      <c r="I341" s="523"/>
      <c r="J341" s="523"/>
      <c r="K341" s="523"/>
      <c r="P341" s="1561">
        <f>'TEST_pour PROTOTYPE'!D303</f>
        <v>4</v>
      </c>
      <c r="Q341" s="24">
        <f>P341*D341</f>
        <v>4</v>
      </c>
      <c r="AE341" s="477"/>
      <c r="AF341" s="38"/>
      <c r="AG341" s="38"/>
      <c r="AH341" s="69"/>
      <c r="AI341" s="69"/>
      <c r="AJ341" s="69"/>
      <c r="AK341" s="683"/>
      <c r="AL341" s="683"/>
      <c r="AM341" s="683"/>
      <c r="AN341" s="683"/>
      <c r="AO341" s="683"/>
      <c r="AP341" s="683"/>
      <c r="AQ341" s="683"/>
      <c r="AR341" s="683"/>
    </row>
    <row r="342" spans="1:44" s="8" customFormat="1" ht="18" customHeight="1" x14ac:dyDescent="0.2">
      <c r="A342" s="1199" t="s">
        <v>471</v>
      </c>
      <c r="B342" s="137" t="str">
        <f>IF($E$338=1,"anxiété","")</f>
        <v>anxiété</v>
      </c>
      <c r="C342" s="100"/>
      <c r="D342" s="1655">
        <v>1</v>
      </c>
      <c r="E342" s="523"/>
      <c r="F342" s="523"/>
      <c r="G342" s="523"/>
      <c r="H342" s="523"/>
      <c r="I342" s="523"/>
      <c r="J342" s="523"/>
      <c r="K342" s="523"/>
      <c r="P342" s="1561">
        <f>'TEST_pour PROTOTYPE'!D304</f>
        <v>4</v>
      </c>
      <c r="Q342" s="24">
        <f t="shared" ref="Q342" si="145">P342*D342</f>
        <v>4</v>
      </c>
      <c r="AE342" s="477"/>
      <c r="AF342" s="38"/>
      <c r="AG342" s="38"/>
      <c r="AH342" s="69"/>
      <c r="AI342" s="69"/>
      <c r="AJ342" s="69"/>
      <c r="AK342" s="683"/>
      <c r="AL342" s="683"/>
      <c r="AM342" s="683"/>
      <c r="AN342" s="683"/>
      <c r="AO342" s="683"/>
      <c r="AP342" s="683"/>
      <c r="AQ342" s="683"/>
      <c r="AR342" s="683"/>
    </row>
    <row r="343" spans="1:44" s="8" customFormat="1" ht="18" customHeight="1" x14ac:dyDescent="0.2">
      <c r="A343" s="1199" t="s">
        <v>1479</v>
      </c>
      <c r="B343" s="137" t="str">
        <f>IF($E$338=1,"isolement et difficulté à socialiser","")</f>
        <v>isolement et difficulté à socialiser</v>
      </c>
      <c r="C343" s="100"/>
      <c r="D343" s="1655">
        <v>1</v>
      </c>
      <c r="E343" s="523"/>
      <c r="F343" s="523"/>
      <c r="G343" s="523"/>
      <c r="H343" s="523">
        <v>1</v>
      </c>
      <c r="I343" s="523"/>
      <c r="J343" s="523"/>
      <c r="K343" s="523"/>
      <c r="P343" s="1561">
        <f>'TEST_pour PROTOTYPE'!D305</f>
        <v>2</v>
      </c>
      <c r="Q343" s="24">
        <f t="shared" ref="Q343:Q351" si="146">P343*D343</f>
        <v>2</v>
      </c>
      <c r="AE343" s="477"/>
      <c r="AF343" s="38"/>
      <c r="AG343" s="38"/>
      <c r="AH343" s="69"/>
      <c r="AI343" s="69"/>
      <c r="AJ343" s="69"/>
      <c r="AK343" s="683"/>
      <c r="AL343" s="683"/>
      <c r="AM343" s="683"/>
      <c r="AN343" s="683"/>
      <c r="AO343" s="683"/>
      <c r="AP343" s="683"/>
      <c r="AQ343" s="683"/>
      <c r="AR343" s="683"/>
    </row>
    <row r="344" spans="1:44" s="8" customFormat="1" ht="17" x14ac:dyDescent="0.2">
      <c r="A344" s="1199" t="s">
        <v>1480</v>
      </c>
      <c r="B344" s="137" t="str">
        <f>IF($E$338=1,"trouble de l'opposition","")</f>
        <v>trouble de l'opposition</v>
      </c>
      <c r="C344" s="100"/>
      <c r="D344" s="1655">
        <v>1</v>
      </c>
      <c r="E344" s="523"/>
      <c r="F344" s="523"/>
      <c r="G344" s="523"/>
      <c r="H344" s="523"/>
      <c r="I344" s="523"/>
      <c r="J344" s="523"/>
      <c r="K344" s="523"/>
      <c r="P344" s="1561">
        <f>'TEST_pour PROTOTYPE'!D306</f>
        <v>0</v>
      </c>
      <c r="Q344" s="24">
        <f t="shared" si="146"/>
        <v>0</v>
      </c>
      <c r="AE344" s="477"/>
      <c r="AF344" s="38"/>
      <c r="AG344" s="38"/>
      <c r="AH344" s="69"/>
      <c r="AI344" s="69"/>
      <c r="AJ344" s="69"/>
      <c r="AK344" s="683"/>
      <c r="AL344" s="683"/>
      <c r="AM344" s="683"/>
      <c r="AN344" s="683"/>
      <c r="AO344" s="683"/>
      <c r="AP344" s="683"/>
      <c r="AQ344" s="683"/>
      <c r="AR344" s="683"/>
    </row>
    <row r="345" spans="1:44" s="8" customFormat="1" ht="17" x14ac:dyDescent="0.2">
      <c r="A345" s="1199" t="s">
        <v>1481</v>
      </c>
      <c r="B345" s="137" t="str">
        <f>IF($E$338=1,"trouble alimentaire","")</f>
        <v>trouble alimentaire</v>
      </c>
      <c r="C345" s="100"/>
      <c r="D345" s="1655">
        <v>1</v>
      </c>
      <c r="E345" s="523"/>
      <c r="F345" s="523"/>
      <c r="G345" s="523"/>
      <c r="H345" s="523"/>
      <c r="I345" s="523"/>
      <c r="J345" s="523"/>
      <c r="K345" s="523"/>
      <c r="P345" s="1561">
        <f>'TEST_pour PROTOTYPE'!D307</f>
        <v>0</v>
      </c>
      <c r="Q345" s="24">
        <f t="shared" si="146"/>
        <v>0</v>
      </c>
      <c r="U345" s="296"/>
      <c r="V345" s="296"/>
      <c r="AE345" s="477"/>
      <c r="AF345" s="38"/>
      <c r="AG345" s="38"/>
      <c r="AH345" s="69"/>
      <c r="AI345" s="69"/>
      <c r="AJ345" s="69"/>
      <c r="AK345" s="683"/>
      <c r="AL345" s="683"/>
      <c r="AM345" s="683"/>
      <c r="AN345" s="683"/>
      <c r="AO345" s="683"/>
      <c r="AP345" s="683"/>
      <c r="AQ345" s="683"/>
      <c r="AR345" s="683"/>
    </row>
    <row r="346" spans="1:44" s="8" customFormat="1" x14ac:dyDescent="0.2">
      <c r="A346" s="1199"/>
      <c r="B346" s="137"/>
      <c r="C346" s="100"/>
      <c r="D346" s="1655"/>
      <c r="E346" s="1628" t="s">
        <v>1376</v>
      </c>
      <c r="F346" s="523"/>
      <c r="G346" s="523"/>
      <c r="H346" s="523"/>
      <c r="I346" s="523"/>
      <c r="J346" s="523"/>
      <c r="K346" s="523"/>
      <c r="P346" s="1561"/>
      <c r="Q346" s="24"/>
      <c r="U346" s="54"/>
      <c r="V346" s="54"/>
      <c r="AE346" s="477"/>
      <c r="AF346" s="38"/>
      <c r="AG346" s="38"/>
      <c r="AH346" s="69"/>
      <c r="AI346" s="69"/>
      <c r="AJ346" s="69"/>
      <c r="AK346" s="683"/>
      <c r="AL346" s="683"/>
      <c r="AM346" s="683"/>
      <c r="AN346" s="683"/>
      <c r="AO346" s="683"/>
      <c r="AP346" s="683"/>
      <c r="AQ346" s="683"/>
      <c r="AR346" s="683"/>
    </row>
    <row r="347" spans="1:44" s="8" customFormat="1" ht="17" customHeight="1" x14ac:dyDescent="0.2">
      <c r="A347" s="1199" t="s">
        <v>1482</v>
      </c>
      <c r="B347" s="137" t="str">
        <f>IF($E$338=1,"automutilation","")</f>
        <v>automutilation</v>
      </c>
      <c r="C347" s="100" t="s">
        <v>230</v>
      </c>
      <c r="D347" s="1655">
        <v>1</v>
      </c>
      <c r="E347" s="37" t="str">
        <f>IF(P$347=D347,1,"x")</f>
        <v>x</v>
      </c>
      <c r="F347" s="523"/>
      <c r="G347" s="523"/>
      <c r="H347" s="523"/>
      <c r="I347" s="523"/>
      <c r="J347" s="523"/>
      <c r="K347" s="523"/>
      <c r="P347" s="1561">
        <f>'TEST_pour PROTOTYPE'!D308</f>
        <v>0</v>
      </c>
      <c r="Q347" s="24">
        <f t="shared" si="146"/>
        <v>0</v>
      </c>
      <c r="R347" s="1624"/>
      <c r="S347" s="1624"/>
      <c r="T347" s="1624"/>
      <c r="U347" s="1624"/>
      <c r="V347" s="1624"/>
      <c r="AE347" s="477"/>
      <c r="AF347" s="38"/>
      <c r="AG347" s="38"/>
      <c r="AH347" s="69"/>
      <c r="AI347" s="69"/>
      <c r="AJ347" s="69"/>
      <c r="AK347" s="683"/>
      <c r="AL347" s="683"/>
      <c r="AM347" s="683"/>
      <c r="AN347" s="683"/>
      <c r="AO347" s="683"/>
      <c r="AP347" s="683"/>
      <c r="AQ347" s="683"/>
      <c r="AR347" s="683"/>
    </row>
    <row r="348" spans="1:44" s="8" customFormat="1" ht="17" customHeight="1" x14ac:dyDescent="0.2">
      <c r="A348" s="1199"/>
      <c r="B348" s="137"/>
      <c r="C348" s="100" t="s">
        <v>231</v>
      </c>
      <c r="D348" s="1656">
        <v>0</v>
      </c>
      <c r="E348" s="37">
        <f>IF(P$347=D348,1,"x")</f>
        <v>1</v>
      </c>
      <c r="F348" s="524"/>
      <c r="G348" s="524"/>
      <c r="H348" s="524"/>
      <c r="I348" s="524"/>
      <c r="J348" s="524"/>
      <c r="K348" s="524"/>
      <c r="P348" s="1561"/>
      <c r="Q348" s="24"/>
      <c r="R348" s="1624"/>
      <c r="S348" s="1624"/>
      <c r="T348" s="1624"/>
      <c r="U348" s="1624"/>
      <c r="V348" s="1624"/>
      <c r="AE348" s="477"/>
      <c r="AF348" s="38"/>
      <c r="AG348" s="38"/>
      <c r="AH348" s="69"/>
      <c r="AI348" s="69"/>
      <c r="AJ348" s="69"/>
      <c r="AK348" s="683"/>
      <c r="AL348" s="683"/>
      <c r="AM348" s="683"/>
      <c r="AN348" s="683"/>
      <c r="AO348" s="683"/>
      <c r="AP348" s="683"/>
      <c r="AQ348" s="683"/>
      <c r="AR348" s="683"/>
    </row>
    <row r="349" spans="1:44" s="8" customFormat="1" ht="17" x14ac:dyDescent="0.2">
      <c r="A349" s="1199" t="s">
        <v>1483</v>
      </c>
      <c r="B349" s="137" t="str">
        <f>IF($E$338=1,"dépression","")</f>
        <v>dépression</v>
      </c>
      <c r="C349" s="100" t="s">
        <v>230</v>
      </c>
      <c r="D349" s="1655">
        <v>1</v>
      </c>
      <c r="E349" s="37" t="str">
        <f>IF(P$349=D349,1,"x")</f>
        <v>x</v>
      </c>
      <c r="F349" s="524"/>
      <c r="G349" s="524"/>
      <c r="H349" s="524"/>
      <c r="I349" s="524"/>
      <c r="J349" s="524"/>
      <c r="K349" s="524"/>
      <c r="P349" s="1561">
        <f>'TEST_pour PROTOTYPE'!D309</f>
        <v>0</v>
      </c>
      <c r="Q349" s="24">
        <f t="shared" si="146"/>
        <v>0</v>
      </c>
      <c r="R349" s="1624"/>
      <c r="S349" s="1624"/>
      <c r="T349" s="1624"/>
      <c r="U349" s="1624"/>
      <c r="V349" s="1624"/>
      <c r="AE349" s="477"/>
      <c r="AF349" s="38"/>
      <c r="AG349" s="38"/>
      <c r="AH349" s="69"/>
      <c r="AI349" s="69"/>
      <c r="AJ349" s="69"/>
      <c r="AK349" s="683"/>
      <c r="AL349" s="683"/>
      <c r="AM349" s="683"/>
      <c r="AN349" s="683"/>
      <c r="AO349" s="683"/>
      <c r="AP349" s="683"/>
      <c r="AQ349" s="683"/>
      <c r="AR349" s="683"/>
    </row>
    <row r="350" spans="1:44" s="8" customFormat="1" x14ac:dyDescent="0.2">
      <c r="A350" s="1199"/>
      <c r="B350" s="137"/>
      <c r="C350" s="100" t="s">
        <v>231</v>
      </c>
      <c r="D350" s="1656">
        <v>0</v>
      </c>
      <c r="E350" s="37">
        <f>IF(P$349=D350,1,"x")</f>
        <v>1</v>
      </c>
      <c r="F350" s="524"/>
      <c r="G350" s="524"/>
      <c r="H350" s="524"/>
      <c r="I350" s="524"/>
      <c r="J350" s="524"/>
      <c r="K350" s="524"/>
      <c r="P350" s="1561"/>
      <c r="Q350" s="24"/>
      <c r="R350" s="1624"/>
      <c r="S350" s="1624"/>
      <c r="T350" s="1624"/>
      <c r="U350" s="1624"/>
      <c r="V350" s="1624"/>
      <c r="AE350" s="477"/>
      <c r="AF350" s="38"/>
      <c r="AG350" s="38"/>
      <c r="AH350" s="69"/>
      <c r="AI350" s="69"/>
      <c r="AJ350" s="69"/>
      <c r="AK350" s="683"/>
      <c r="AL350" s="683"/>
      <c r="AM350" s="683"/>
      <c r="AN350" s="683"/>
      <c r="AO350" s="683"/>
      <c r="AP350" s="683"/>
      <c r="AQ350" s="683"/>
      <c r="AR350" s="683"/>
    </row>
    <row r="351" spans="1:44" s="8" customFormat="1" ht="17" x14ac:dyDescent="0.2">
      <c r="A351" s="1199" t="s">
        <v>1484</v>
      </c>
      <c r="B351" s="137" t="str">
        <f>IF($E$338=1,"idéation suicidaire","")</f>
        <v>idéation suicidaire</v>
      </c>
      <c r="C351" s="100" t="s">
        <v>230</v>
      </c>
      <c r="D351" s="1655">
        <v>1</v>
      </c>
      <c r="E351" s="37" t="str">
        <f>IF(P$351=D351,1,"x")</f>
        <v>x</v>
      </c>
      <c r="F351" s="523"/>
      <c r="G351" s="523"/>
      <c r="H351" s="523"/>
      <c r="I351" s="523"/>
      <c r="J351" s="523"/>
      <c r="K351" s="523"/>
      <c r="P351" s="1561">
        <f>'TEST_pour PROTOTYPE'!D310</f>
        <v>0</v>
      </c>
      <c r="Q351" s="24">
        <f t="shared" si="146"/>
        <v>0</v>
      </c>
      <c r="R351" s="1624"/>
      <c r="S351" s="1624"/>
      <c r="T351" s="1624"/>
      <c r="U351" s="1624"/>
      <c r="V351" s="1624"/>
      <c r="AE351" s="477"/>
      <c r="AF351" s="38"/>
      <c r="AG351" s="38"/>
      <c r="AH351" s="69"/>
      <c r="AI351" s="69"/>
      <c r="AJ351" s="69"/>
      <c r="AK351" s="683"/>
      <c r="AL351" s="683"/>
      <c r="AM351" s="683"/>
      <c r="AN351" s="683"/>
      <c r="AO351" s="683"/>
      <c r="AP351" s="683"/>
      <c r="AQ351" s="683"/>
      <c r="AR351" s="683"/>
    </row>
    <row r="352" spans="1:44" s="8" customFormat="1" x14ac:dyDescent="0.2">
      <c r="A352" s="1199"/>
      <c r="B352" s="137"/>
      <c r="C352" s="100" t="s">
        <v>231</v>
      </c>
      <c r="D352" s="1656">
        <v>0</v>
      </c>
      <c r="E352" s="37">
        <f>IF(P$351=D352,1,"x")</f>
        <v>1</v>
      </c>
      <c r="F352" s="523"/>
      <c r="G352" s="523"/>
      <c r="H352" s="523"/>
      <c r="I352" s="523"/>
      <c r="J352" s="523"/>
      <c r="K352" s="523"/>
      <c r="P352" s="1561"/>
      <c r="Q352" s="24"/>
      <c r="R352" s="1624"/>
      <c r="S352" s="1624"/>
      <c r="T352" s="1624"/>
      <c r="U352" s="1624"/>
      <c r="V352" s="1624"/>
      <c r="AE352" s="477"/>
      <c r="AF352" s="38"/>
      <c r="AG352" s="38"/>
      <c r="AH352" s="69"/>
      <c r="AI352" s="69"/>
      <c r="AJ352" s="69"/>
      <c r="AK352" s="683"/>
      <c r="AL352" s="683"/>
      <c r="AM352" s="683"/>
      <c r="AN352" s="683"/>
      <c r="AO352" s="683"/>
      <c r="AP352" s="683"/>
      <c r="AQ352" s="683"/>
      <c r="AR352" s="683"/>
    </row>
    <row r="353" spans="1:44" s="8" customFormat="1" ht="21" hidden="1" customHeight="1" x14ac:dyDescent="0.2">
      <c r="A353" s="1629"/>
      <c r="B353" s="1566" t="str">
        <f>IF($E$338=1,"Aucune de ces réponses","")</f>
        <v>Aucune de ces réponses</v>
      </c>
      <c r="C353" s="1610"/>
      <c r="D353" s="1655">
        <v>0</v>
      </c>
      <c r="E353" s="1567"/>
      <c r="F353" s="1567"/>
      <c r="G353" s="1567"/>
      <c r="H353" s="1567"/>
      <c r="I353" s="1567"/>
      <c r="J353" s="1567"/>
      <c r="K353" s="1567"/>
      <c r="L353" s="1393"/>
      <c r="M353" s="1393"/>
      <c r="N353" s="1393"/>
      <c r="O353" s="1393"/>
      <c r="P353" s="1568"/>
      <c r="Q353" s="1569"/>
      <c r="R353" s="1622"/>
      <c r="S353" s="1630" t="s">
        <v>1377</v>
      </c>
      <c r="T353" s="1624"/>
      <c r="U353" s="1624"/>
      <c r="V353" s="1624"/>
      <c r="AE353" s="477"/>
      <c r="AF353" s="38"/>
      <c r="AG353" s="38"/>
      <c r="AH353" s="69"/>
      <c r="AI353" s="69"/>
      <c r="AJ353" s="69"/>
      <c r="AK353" s="683"/>
      <c r="AL353" s="683"/>
      <c r="AM353" s="683"/>
      <c r="AN353" s="683"/>
      <c r="AO353" s="683"/>
      <c r="AP353" s="683"/>
      <c r="AQ353" s="683"/>
      <c r="AR353" s="683"/>
    </row>
    <row r="354" spans="1:44" s="8" customFormat="1" ht="17" hidden="1" x14ac:dyDescent="0.2">
      <c r="A354" s="1199" t="s">
        <v>1485</v>
      </c>
      <c r="B354" s="137" t="str">
        <f>IF($E$338=1,"autres (veuillez spécifier)","")</f>
        <v>autres (veuillez spécifier)</v>
      </c>
      <c r="C354" s="100"/>
      <c r="D354" s="1657" t="s">
        <v>1169</v>
      </c>
      <c r="E354" s="277"/>
      <c r="P354" s="24"/>
      <c r="Q354" s="24"/>
      <c r="R354" s="1624"/>
      <c r="S354" s="1624"/>
      <c r="T354" s="1624"/>
      <c r="U354" s="1624"/>
      <c r="V354" s="1624"/>
      <c r="AE354" s="477"/>
      <c r="AF354" s="38"/>
      <c r="AG354" s="38"/>
      <c r="AH354" s="69"/>
      <c r="AI354" s="69"/>
      <c r="AJ354" s="69"/>
      <c r="AK354" s="683"/>
      <c r="AL354" s="683"/>
      <c r="AM354" s="683"/>
      <c r="AN354" s="683"/>
      <c r="AO354" s="683"/>
      <c r="AP354" s="683"/>
      <c r="AQ354" s="683"/>
      <c r="AR354" s="683"/>
    </row>
    <row r="355" spans="1:44" s="8" customFormat="1" ht="50" customHeight="1" x14ac:dyDescent="0.2">
      <c r="A355" s="1199"/>
      <c r="B355" s="284" t="str">
        <f>IF($E$338=1,BIBLE!F208,"")</f>
        <v>Lesquelles de ces manifestations étaient déjà apparentes avant la séparation et à quelle fréquence?</v>
      </c>
      <c r="C355" s="100"/>
      <c r="D355" s="1290">
        <f>BIBLE!L208</f>
        <v>1</v>
      </c>
      <c r="O355" s="8" t="s">
        <v>753</v>
      </c>
      <c r="P355" s="23"/>
      <c r="Q355" s="23"/>
      <c r="R355" s="1624"/>
      <c r="S355" s="1624"/>
      <c r="T355" s="1624"/>
      <c r="U355" s="1624"/>
      <c r="V355" s="1624"/>
      <c r="AE355" s="477"/>
      <c r="AF355" s="38"/>
      <c r="AG355" s="38"/>
      <c r="AH355" s="69"/>
      <c r="AI355" s="69"/>
      <c r="AJ355" s="69"/>
      <c r="AK355" s="683"/>
      <c r="AL355" s="683"/>
      <c r="AM355" s="683"/>
      <c r="AN355" s="683"/>
      <c r="AO355" s="683"/>
      <c r="AP355" s="683"/>
      <c r="AQ355" s="683"/>
      <c r="AR355" s="683"/>
    </row>
    <row r="356" spans="1:44" s="8" customFormat="1" ht="17" x14ac:dyDescent="0.2">
      <c r="A356" s="1594" t="s">
        <v>1302</v>
      </c>
      <c r="B356" s="137" t="str">
        <f>IF(P341&gt;0,"insomnie","")</f>
        <v>insomnie</v>
      </c>
      <c r="C356" s="22"/>
      <c r="D356" s="1655">
        <v>1</v>
      </c>
      <c r="E356" s="523"/>
      <c r="F356" s="523"/>
      <c r="G356" s="523"/>
      <c r="H356" s="523"/>
      <c r="I356" s="523">
        <v>1</v>
      </c>
      <c r="J356" s="523"/>
      <c r="K356" s="523"/>
      <c r="P356" s="1561">
        <f>'TEST_pour PROTOTYPE'!D311</f>
        <v>4</v>
      </c>
      <c r="Q356" s="24">
        <f>P356*D356</f>
        <v>4</v>
      </c>
      <c r="R356" s="1624"/>
      <c r="S356" s="1624"/>
      <c r="T356" s="1624"/>
      <c r="U356" s="1624"/>
      <c r="V356" s="1624"/>
      <c r="AE356" s="477"/>
      <c r="AF356" s="38"/>
      <c r="AG356" s="38"/>
      <c r="AH356" s="69"/>
      <c r="AI356" s="69"/>
      <c r="AJ356" s="69"/>
      <c r="AK356" s="683"/>
      <c r="AL356" s="683"/>
      <c r="AM356" s="683"/>
      <c r="AN356" s="683"/>
      <c r="AO356" s="683"/>
      <c r="AP356" s="683"/>
      <c r="AQ356" s="683"/>
      <c r="AR356" s="683"/>
    </row>
    <row r="357" spans="1:44" s="8" customFormat="1" ht="17" x14ac:dyDescent="0.2">
      <c r="A357" s="1594" t="s">
        <v>1486</v>
      </c>
      <c r="B357" s="137" t="str">
        <f>IF(P342&lt;&gt;0,"anxiété","")</f>
        <v>anxiété</v>
      </c>
      <c r="C357" s="22"/>
      <c r="D357" s="1655">
        <v>1</v>
      </c>
      <c r="E357" s="523"/>
      <c r="F357" s="523"/>
      <c r="G357" s="523"/>
      <c r="H357" s="523"/>
      <c r="I357" s="523"/>
      <c r="J357" s="523"/>
      <c r="K357" s="523"/>
      <c r="P357" s="1561">
        <f>'TEST_pour PROTOTYPE'!D312</f>
        <v>4</v>
      </c>
      <c r="Q357" s="24">
        <f t="shared" ref="Q357:Q366" si="147">P357*D357</f>
        <v>4</v>
      </c>
      <c r="R357" s="1624"/>
      <c r="S357" s="1624"/>
      <c r="T357" s="1624"/>
      <c r="U357" s="1624"/>
      <c r="V357" s="1624"/>
      <c r="AE357" s="477"/>
      <c r="AF357" s="38"/>
      <c r="AG357" s="38"/>
      <c r="AH357" s="69"/>
      <c r="AI357" s="69"/>
      <c r="AJ357" s="69"/>
      <c r="AK357" s="683"/>
      <c r="AL357" s="683"/>
      <c r="AM357" s="683"/>
      <c r="AN357" s="683"/>
      <c r="AO357" s="683"/>
      <c r="AP357" s="683"/>
      <c r="AQ357" s="683"/>
      <c r="AR357" s="683"/>
    </row>
    <row r="358" spans="1:44" s="8" customFormat="1" ht="17" x14ac:dyDescent="0.2">
      <c r="A358" s="1594" t="s">
        <v>1487</v>
      </c>
      <c r="B358" s="137" t="str">
        <f>IF(P343&lt;&gt;0,"isolement et difficulté à socialiser","")</f>
        <v>isolement et difficulté à socialiser</v>
      </c>
      <c r="C358" s="22"/>
      <c r="D358" s="1655">
        <v>1</v>
      </c>
      <c r="E358" s="523"/>
      <c r="F358" s="523"/>
      <c r="G358" s="523"/>
      <c r="H358" s="523"/>
      <c r="I358" s="523"/>
      <c r="J358" s="523"/>
      <c r="K358" s="523"/>
      <c r="P358" s="1561">
        <f>'TEST_pour PROTOTYPE'!D313</f>
        <v>2</v>
      </c>
      <c r="Q358" s="24">
        <f t="shared" si="147"/>
        <v>2</v>
      </c>
      <c r="R358" s="1624"/>
      <c r="S358" s="1624"/>
      <c r="T358" s="1624"/>
      <c r="U358" s="1624"/>
      <c r="V358" s="1624"/>
      <c r="AE358" s="477"/>
      <c r="AF358" s="38"/>
      <c r="AG358" s="38"/>
      <c r="AH358" s="69"/>
      <c r="AI358" s="69"/>
      <c r="AJ358" s="69"/>
      <c r="AK358" s="683"/>
      <c r="AL358" s="683"/>
      <c r="AM358" s="683"/>
      <c r="AN358" s="683"/>
      <c r="AO358" s="683"/>
      <c r="AP358" s="683"/>
      <c r="AQ358" s="683"/>
      <c r="AR358" s="683"/>
    </row>
    <row r="359" spans="1:44" s="8" customFormat="1" ht="17" x14ac:dyDescent="0.2">
      <c r="A359" s="1594" t="s">
        <v>1488</v>
      </c>
      <c r="B359" s="137" t="str">
        <f>IF(P344&lt;&gt;0,"trouble de l'opposition","")</f>
        <v/>
      </c>
      <c r="C359" s="22"/>
      <c r="D359" s="1655">
        <v>1</v>
      </c>
      <c r="E359" s="523"/>
      <c r="F359" s="523"/>
      <c r="G359" s="523"/>
      <c r="H359" s="523"/>
      <c r="I359" s="523">
        <v>1</v>
      </c>
      <c r="J359" s="523"/>
      <c r="K359" s="523"/>
      <c r="P359" s="1561">
        <f>'TEST_pour PROTOTYPE'!D314</f>
        <v>0</v>
      </c>
      <c r="Q359" s="24">
        <f t="shared" si="147"/>
        <v>0</v>
      </c>
      <c r="R359" s="1624"/>
      <c r="S359" s="1624"/>
      <c r="T359" s="1624"/>
      <c r="U359" s="1624"/>
      <c r="V359" s="1624"/>
      <c r="AE359" s="477"/>
      <c r="AF359" s="38"/>
      <c r="AG359" s="38"/>
      <c r="AH359" s="69"/>
      <c r="AI359" s="69"/>
      <c r="AJ359" s="69"/>
      <c r="AK359" s="683"/>
      <c r="AL359" s="683"/>
      <c r="AM359" s="683"/>
      <c r="AN359" s="683"/>
      <c r="AO359" s="683"/>
      <c r="AP359" s="683"/>
      <c r="AQ359" s="683"/>
      <c r="AR359" s="683"/>
    </row>
    <row r="360" spans="1:44" s="8" customFormat="1" ht="17" x14ac:dyDescent="0.2">
      <c r="A360" s="1594" t="s">
        <v>1489</v>
      </c>
      <c r="B360" s="137" t="str">
        <f>IF(P345&lt;&gt;0,"trouble alimentaire","")</f>
        <v/>
      </c>
      <c r="C360" s="22"/>
      <c r="D360" s="1655">
        <v>1</v>
      </c>
      <c r="E360" s="523"/>
      <c r="F360" s="523"/>
      <c r="G360" s="523"/>
      <c r="H360" s="523"/>
      <c r="I360" s="523"/>
      <c r="J360" s="523"/>
      <c r="K360" s="523"/>
      <c r="P360" s="1561">
        <f>'TEST_pour PROTOTYPE'!D315</f>
        <v>0</v>
      </c>
      <c r="Q360" s="24">
        <f t="shared" si="147"/>
        <v>0</v>
      </c>
      <c r="R360" s="1624"/>
      <c r="S360" s="1624"/>
      <c r="T360" s="1624"/>
      <c r="U360" s="1624"/>
      <c r="V360" s="1624"/>
      <c r="AE360" s="477"/>
      <c r="AF360" s="38"/>
      <c r="AG360" s="38"/>
      <c r="AH360" s="69"/>
      <c r="AI360" s="69"/>
      <c r="AJ360" s="69"/>
      <c r="AK360" s="683"/>
      <c r="AL360" s="683"/>
      <c r="AM360" s="683"/>
      <c r="AN360" s="683"/>
      <c r="AO360" s="683"/>
      <c r="AP360" s="683"/>
      <c r="AQ360" s="683"/>
      <c r="AR360" s="683"/>
    </row>
    <row r="361" spans="1:44" s="8" customFormat="1" x14ac:dyDescent="0.2">
      <c r="A361" s="1199"/>
      <c r="B361" s="137"/>
      <c r="C361" s="22"/>
      <c r="D361" s="1655"/>
      <c r="E361" s="1628" t="s">
        <v>1376</v>
      </c>
      <c r="F361" s="523"/>
      <c r="G361" s="523"/>
      <c r="H361" s="523"/>
      <c r="I361" s="523"/>
      <c r="J361" s="523"/>
      <c r="K361" s="523"/>
      <c r="P361" s="1561"/>
      <c r="Q361" s="24"/>
      <c r="R361" s="1624"/>
      <c r="S361" s="1624"/>
      <c r="T361" s="1624"/>
      <c r="U361" s="1624"/>
      <c r="V361" s="1624"/>
      <c r="AE361" s="477"/>
      <c r="AF361" s="38"/>
      <c r="AG361" s="38"/>
      <c r="AH361" s="69"/>
      <c r="AI361" s="69"/>
      <c r="AJ361" s="69"/>
      <c r="AK361" s="683"/>
      <c r="AL361" s="683"/>
      <c r="AM361" s="683"/>
      <c r="AN361" s="683"/>
      <c r="AO361" s="683"/>
      <c r="AP361" s="683"/>
      <c r="AQ361" s="683"/>
      <c r="AR361" s="683"/>
    </row>
    <row r="362" spans="1:44" s="8" customFormat="1" ht="17" x14ac:dyDescent="0.2">
      <c r="A362" s="1594" t="s">
        <v>1490</v>
      </c>
      <c r="B362" s="137" t="str">
        <f>IF(P347&lt;&gt;0,"automutilation","")</f>
        <v/>
      </c>
      <c r="C362" s="100" t="s">
        <v>230</v>
      </c>
      <c r="D362" s="1655">
        <v>1</v>
      </c>
      <c r="E362" s="37">
        <f>IF(P$362=D362,1,"x")</f>
        <v>1</v>
      </c>
      <c r="F362" s="523"/>
      <c r="G362" s="523"/>
      <c r="H362" s="523"/>
      <c r="I362" s="523"/>
      <c r="J362" s="523"/>
      <c r="K362" s="523"/>
      <c r="P362" s="1561">
        <f>'TEST_pour PROTOTYPE'!D316</f>
        <v>1</v>
      </c>
      <c r="Q362" s="24">
        <f t="shared" si="147"/>
        <v>1</v>
      </c>
      <c r="R362" s="1624"/>
      <c r="S362" s="1624"/>
      <c r="T362" s="1624"/>
      <c r="U362" s="1624"/>
      <c r="V362" s="1624"/>
      <c r="AE362" s="477"/>
      <c r="AF362" s="38"/>
      <c r="AG362" s="38"/>
      <c r="AH362" s="69"/>
      <c r="AI362" s="69"/>
      <c r="AJ362" s="69"/>
      <c r="AK362" s="683"/>
      <c r="AL362" s="683"/>
      <c r="AM362" s="683"/>
      <c r="AN362" s="683"/>
      <c r="AO362" s="683"/>
      <c r="AP362" s="683"/>
      <c r="AQ362" s="683"/>
      <c r="AR362" s="683"/>
    </row>
    <row r="363" spans="1:44" s="8" customFormat="1" x14ac:dyDescent="0.2">
      <c r="A363" s="1199"/>
      <c r="B363" s="137"/>
      <c r="C363" s="100" t="s">
        <v>231</v>
      </c>
      <c r="D363" s="1656">
        <v>0</v>
      </c>
      <c r="E363" s="37" t="str">
        <f>IF(P$362=D363,1,"x")</f>
        <v>x</v>
      </c>
      <c r="F363" s="523"/>
      <c r="G363" s="523"/>
      <c r="H363" s="523"/>
      <c r="I363" s="523"/>
      <c r="J363" s="523"/>
      <c r="K363" s="523"/>
      <c r="P363" s="1561"/>
      <c r="Q363" s="24"/>
      <c r="R363" s="1624"/>
      <c r="S363" s="1624"/>
      <c r="T363" s="1624"/>
      <c r="U363" s="1624"/>
      <c r="V363" s="1624"/>
      <c r="AE363" s="477"/>
      <c r="AF363" s="38"/>
      <c r="AG363" s="38"/>
      <c r="AH363" s="69"/>
      <c r="AI363" s="69"/>
      <c r="AJ363" s="69"/>
      <c r="AK363" s="683"/>
      <c r="AL363" s="683"/>
      <c r="AM363" s="683"/>
      <c r="AN363" s="683"/>
      <c r="AO363" s="683"/>
      <c r="AP363" s="683"/>
      <c r="AQ363" s="683"/>
      <c r="AR363" s="683"/>
    </row>
    <row r="364" spans="1:44" s="8" customFormat="1" ht="17" x14ac:dyDescent="0.2">
      <c r="A364" s="1594" t="s">
        <v>1491</v>
      </c>
      <c r="B364" s="137" t="str">
        <f>IF(P349&lt;&gt;0,"dépression","")</f>
        <v/>
      </c>
      <c r="C364" s="100" t="s">
        <v>230</v>
      </c>
      <c r="D364" s="1655">
        <v>1</v>
      </c>
      <c r="E364" s="37">
        <f>IF(P$338=D364,1,"x")</f>
        <v>1</v>
      </c>
      <c r="F364" s="523"/>
      <c r="G364" s="523"/>
      <c r="H364" s="523"/>
      <c r="I364" s="523"/>
      <c r="J364" s="523"/>
      <c r="K364" s="523"/>
      <c r="P364" s="1561">
        <f>'TEST_pour PROTOTYPE'!D317</f>
        <v>1</v>
      </c>
      <c r="Q364" s="24">
        <f t="shared" si="147"/>
        <v>1</v>
      </c>
      <c r="R364" s="1624"/>
      <c r="S364" s="1624"/>
      <c r="T364" s="1624"/>
      <c r="U364" s="1624"/>
      <c r="V364" s="1624"/>
      <c r="AE364" s="477"/>
      <c r="AF364" s="38"/>
      <c r="AG364" s="38"/>
      <c r="AH364" s="69"/>
      <c r="AI364" s="69"/>
      <c r="AJ364" s="69"/>
      <c r="AK364" s="683"/>
      <c r="AL364" s="683"/>
      <c r="AM364" s="683"/>
      <c r="AN364" s="683"/>
      <c r="AO364" s="683"/>
      <c r="AP364" s="683"/>
      <c r="AQ364" s="683"/>
      <c r="AR364" s="683"/>
    </row>
    <row r="365" spans="1:44" s="8" customFormat="1" x14ac:dyDescent="0.2">
      <c r="A365" s="1199"/>
      <c r="B365" s="137"/>
      <c r="C365" s="100" t="s">
        <v>231</v>
      </c>
      <c r="D365" s="1656">
        <v>0</v>
      </c>
      <c r="E365" s="37" t="str">
        <f>IF(P$338=D365,1,"x")</f>
        <v>x</v>
      </c>
      <c r="F365" s="523"/>
      <c r="G365" s="523"/>
      <c r="H365" s="523"/>
      <c r="I365" s="523"/>
      <c r="J365" s="523"/>
      <c r="K365" s="523"/>
      <c r="P365" s="1561"/>
      <c r="Q365" s="24"/>
      <c r="R365" s="1624"/>
      <c r="S365" s="1624"/>
      <c r="T365" s="1624"/>
      <c r="U365" s="1624"/>
      <c r="V365" s="1624"/>
      <c r="AE365" s="477"/>
      <c r="AF365" s="38"/>
      <c r="AG365" s="38"/>
      <c r="AH365" s="69"/>
      <c r="AI365" s="69"/>
      <c r="AJ365" s="69"/>
      <c r="AK365" s="683"/>
      <c r="AL365" s="683"/>
      <c r="AM365" s="683"/>
      <c r="AN365" s="683"/>
      <c r="AO365" s="683"/>
      <c r="AP365" s="683"/>
      <c r="AQ365" s="683"/>
      <c r="AR365" s="683"/>
    </row>
    <row r="366" spans="1:44" s="8" customFormat="1" ht="17" x14ac:dyDescent="0.2">
      <c r="A366" s="1594" t="s">
        <v>1492</v>
      </c>
      <c r="B366" s="137" t="str">
        <f>IF(P351&lt;&gt;0,"idéation suicidaire","")</f>
        <v/>
      </c>
      <c r="C366" s="100" t="s">
        <v>230</v>
      </c>
      <c r="D366" s="1655">
        <v>1</v>
      </c>
      <c r="E366" s="37">
        <f>IF(P$338=D366,1,"x")</f>
        <v>1</v>
      </c>
      <c r="F366" s="523"/>
      <c r="G366" s="523"/>
      <c r="H366" s="523"/>
      <c r="I366" s="523"/>
      <c r="J366" s="523"/>
      <c r="K366" s="523"/>
      <c r="P366" s="1561">
        <f>'TEST_pour PROTOTYPE'!D318</f>
        <v>1</v>
      </c>
      <c r="Q366" s="24">
        <f t="shared" si="147"/>
        <v>1</v>
      </c>
      <c r="R366" s="1624"/>
      <c r="S366" s="1624"/>
      <c r="T366" s="1624"/>
      <c r="U366" s="1624"/>
      <c r="V366" s="1624"/>
      <c r="AE366" s="477"/>
      <c r="AF366" s="38"/>
      <c r="AG366" s="38"/>
      <c r="AH366" s="69"/>
      <c r="AI366" s="69"/>
      <c r="AJ366" s="69"/>
      <c r="AK366" s="683"/>
      <c r="AL366" s="683"/>
      <c r="AM366" s="683"/>
      <c r="AN366" s="683"/>
      <c r="AO366" s="683"/>
      <c r="AP366" s="683"/>
      <c r="AQ366" s="683"/>
      <c r="AR366" s="683"/>
    </row>
    <row r="367" spans="1:44" s="8" customFormat="1" x14ac:dyDescent="0.2">
      <c r="A367" s="1199"/>
      <c r="B367" s="137"/>
      <c r="C367" s="100" t="s">
        <v>231</v>
      </c>
      <c r="D367" s="1656">
        <v>0</v>
      </c>
      <c r="E367" s="37" t="str">
        <f>IF(P$338=D367,1,"x")</f>
        <v>x</v>
      </c>
      <c r="F367" s="523"/>
      <c r="G367" s="523"/>
      <c r="H367" s="523"/>
      <c r="I367" s="523"/>
      <c r="J367" s="523"/>
      <c r="K367" s="523"/>
      <c r="P367" s="1561"/>
      <c r="Q367" s="24"/>
      <c r="R367" s="1624"/>
      <c r="S367" s="1624"/>
      <c r="T367" s="1624"/>
      <c r="U367" s="1624"/>
      <c r="V367" s="1624"/>
      <c r="AE367" s="477"/>
      <c r="AF367" s="38"/>
      <c r="AG367" s="38"/>
      <c r="AH367" s="69"/>
      <c r="AI367" s="69"/>
      <c r="AJ367" s="69"/>
      <c r="AK367" s="683"/>
      <c r="AL367" s="683"/>
      <c r="AM367" s="683"/>
      <c r="AN367" s="683"/>
      <c r="AO367" s="683"/>
      <c r="AP367" s="683"/>
      <c r="AQ367" s="683"/>
      <c r="AR367" s="683"/>
    </row>
    <row r="368" spans="1:44" s="8" customFormat="1" ht="17" hidden="1" x14ac:dyDescent="0.2">
      <c r="A368" s="1199"/>
      <c r="B368" s="1566" t="str">
        <f>IF($E$338=1,"Aucune de ces réponses","")</f>
        <v>Aucune de ces réponses</v>
      </c>
      <c r="C368" s="1393"/>
      <c r="D368" s="1655">
        <v>0</v>
      </c>
      <c r="E368" s="1567"/>
      <c r="F368" s="1567"/>
      <c r="G368" s="1567"/>
      <c r="H368" s="1567"/>
      <c r="I368" s="1567"/>
      <c r="J368" s="1567"/>
      <c r="K368" s="1567"/>
      <c r="L368" s="1393"/>
      <c r="M368" s="1393"/>
      <c r="N368" s="1393"/>
      <c r="O368" s="1393"/>
      <c r="P368" s="1568"/>
      <c r="Q368" s="1569"/>
      <c r="R368" s="6" t="s">
        <v>1375</v>
      </c>
      <c r="AE368" s="477"/>
      <c r="AF368" s="38"/>
      <c r="AG368" s="38"/>
      <c r="AH368" s="69"/>
      <c r="AI368" s="69"/>
      <c r="AJ368" s="69"/>
      <c r="AK368" s="683"/>
      <c r="AL368" s="683"/>
      <c r="AM368" s="683"/>
      <c r="AN368" s="683"/>
      <c r="AO368" s="683"/>
      <c r="AP368" s="683"/>
      <c r="AQ368" s="683"/>
      <c r="AR368" s="683"/>
    </row>
    <row r="369" spans="1:44" s="8" customFormat="1" ht="17" hidden="1" x14ac:dyDescent="0.2">
      <c r="A369" s="1199"/>
      <c r="B369" s="1566" t="str">
        <f>IF($E$338=1,"autres (veuillez spécifier)","")</f>
        <v>autres (veuillez spécifier)</v>
      </c>
      <c r="C369" s="1393"/>
      <c r="D369" s="1657" t="s">
        <v>1169</v>
      </c>
      <c r="E369" s="1393"/>
      <c r="F369" s="1393"/>
      <c r="G369" s="1393"/>
      <c r="H369" s="1393"/>
      <c r="I369" s="1393"/>
      <c r="J369" s="1393"/>
      <c r="K369" s="1393"/>
      <c r="L369" s="1393"/>
      <c r="M369" s="1393"/>
      <c r="N369" s="1393"/>
      <c r="O369" s="1393"/>
      <c r="P369" s="1568"/>
      <c r="Q369" s="1569"/>
      <c r="R369" s="6" t="s">
        <v>1375</v>
      </c>
      <c r="AE369" s="477"/>
      <c r="AF369" s="38"/>
      <c r="AG369" s="38"/>
      <c r="AH369" s="69"/>
      <c r="AI369" s="69"/>
      <c r="AJ369" s="69"/>
      <c r="AK369" s="683"/>
      <c r="AL369" s="683"/>
      <c r="AM369" s="683"/>
      <c r="AN369" s="683"/>
      <c r="AO369" s="683"/>
      <c r="AP369" s="683"/>
      <c r="AQ369" s="683"/>
      <c r="AR369" s="683"/>
    </row>
    <row r="370" spans="1:44" s="8" customFormat="1" x14ac:dyDescent="0.2">
      <c r="A370" s="1199"/>
      <c r="B370" s="137"/>
      <c r="C370" s="22"/>
      <c r="D370" s="1657"/>
      <c r="P370" s="23"/>
      <c r="Q370" s="24"/>
      <c r="R370" s="6"/>
      <c r="AE370" s="477"/>
      <c r="AF370" s="38"/>
      <c r="AG370" s="38"/>
      <c r="AH370" s="69"/>
      <c r="AI370" s="69"/>
      <c r="AJ370" s="69"/>
      <c r="AK370" s="683"/>
      <c r="AL370" s="683"/>
      <c r="AM370" s="683"/>
      <c r="AN370" s="683"/>
      <c r="AO370" s="683"/>
      <c r="AP370" s="683"/>
      <c r="AQ370" s="683"/>
      <c r="AR370" s="683"/>
    </row>
    <row r="371" spans="1:44" s="7" customFormat="1" ht="63" customHeight="1" x14ac:dyDescent="0.2">
      <c r="A371" s="1199" t="str">
        <f>BIBLE!E209</f>
        <v>E37</v>
      </c>
      <c r="B371" s="133" t="str">
        <f>BIBLE!F209</f>
        <v xml:space="preserve">Vous notez un changement de comportement chez votre enfant au moment de retouner chez l'autre parent (changement de garde). </v>
      </c>
      <c r="C371" s="463" t="str">
        <f>BIBLE!O209</f>
        <v xml:space="preserve">Jamais / Rarement / Occasionnellement / Régulièrement / Souvent / Toujours / S.O. </v>
      </c>
      <c r="D371" s="1290">
        <f>BIBLE!L209</f>
        <v>2</v>
      </c>
      <c r="E371" s="20"/>
      <c r="F371" s="20"/>
      <c r="G371" s="20"/>
      <c r="H371" s="20"/>
      <c r="I371" s="20">
        <v>1</v>
      </c>
      <c r="J371" s="20"/>
      <c r="K371" s="20"/>
      <c r="L371" s="20"/>
      <c r="M371" s="20"/>
      <c r="N371" s="20"/>
      <c r="O371" s="20"/>
      <c r="P371" s="23">
        <f>'TEST_pour PROTOTYPE'!D319</f>
        <v>4</v>
      </c>
      <c r="Q371" s="24">
        <f>P371*D371</f>
        <v>8</v>
      </c>
      <c r="R371" s="8">
        <f>BIBLE!K209</f>
        <v>4</v>
      </c>
      <c r="S371" s="41"/>
      <c r="T371" s="41"/>
      <c r="U371" s="41"/>
      <c r="V371" s="6">
        <f>Q371</f>
        <v>8</v>
      </c>
      <c r="W371" s="273"/>
      <c r="X371" s="6">
        <f t="shared" ref="X371:AC371" si="148">IF($Q371&gt;0,X$109*$D371,0)</f>
        <v>0</v>
      </c>
      <c r="Y371" s="6">
        <f t="shared" si="148"/>
        <v>2</v>
      </c>
      <c r="Z371" s="6">
        <f t="shared" si="148"/>
        <v>4</v>
      </c>
      <c r="AA371" s="6">
        <f t="shared" si="148"/>
        <v>8</v>
      </c>
      <c r="AB371" s="6">
        <f t="shared" si="148"/>
        <v>14</v>
      </c>
      <c r="AC371" s="6">
        <f t="shared" si="148"/>
        <v>20</v>
      </c>
      <c r="AE371" s="477"/>
      <c r="AF371" s="38"/>
      <c r="AG371" s="38"/>
      <c r="AH371" s="22">
        <f>$V371*BIBLE!S232</f>
        <v>0</v>
      </c>
      <c r="AI371" s="22">
        <f>$V371*BIBLE!T232</f>
        <v>0</v>
      </c>
      <c r="AJ371" s="22">
        <f>$V371*BIBLE!U232</f>
        <v>8</v>
      </c>
      <c r="AK371" s="1236">
        <f>$V371*BIBLE!W232</f>
        <v>0</v>
      </c>
      <c r="AL371" s="1236">
        <f>$V371*BIBLE!X232</f>
        <v>0</v>
      </c>
      <c r="AM371" s="1236">
        <f>$V371*BIBLE!Y232</f>
        <v>0</v>
      </c>
      <c r="AN371" s="1236">
        <f>$V371*BIBLE!Z232</f>
        <v>0</v>
      </c>
      <c r="AO371" s="1236">
        <f>$V371*BIBLE!AA232</f>
        <v>0</v>
      </c>
      <c r="AP371" s="1236">
        <f>$V371*BIBLE!AB232</f>
        <v>8</v>
      </c>
      <c r="AQ371" s="1236">
        <f>$V371*BIBLE!AC232</f>
        <v>0</v>
      </c>
      <c r="AR371" s="1236">
        <f>$V371*BIBLE!AD232</f>
        <v>0</v>
      </c>
    </row>
    <row r="372" spans="1:44" s="7" customFormat="1" ht="33" customHeight="1" x14ac:dyDescent="0.2">
      <c r="A372" s="1199" t="str">
        <f>BIBLE!E210</f>
        <v>E37a</v>
      </c>
      <c r="B372" s="134" t="str">
        <f>IF(P371&gt;=R371,BIBLE!F210,"")</f>
        <v>Au moment de retouner chez l'autre parent (changement de garde), votre enfant vous paraît :</v>
      </c>
      <c r="C372" s="22"/>
      <c r="D372" s="1290">
        <f>BIBLE!L243</f>
        <v>0</v>
      </c>
      <c r="E372" s="20"/>
      <c r="F372" s="20"/>
      <c r="G372" s="20"/>
      <c r="H372" s="20"/>
      <c r="I372" s="20"/>
      <c r="J372" s="20"/>
      <c r="K372" s="20"/>
      <c r="L372" s="20"/>
      <c r="M372" s="20"/>
      <c r="N372" s="20"/>
      <c r="O372" s="20"/>
      <c r="P372" s="1502">
        <f>'TEST_pour PROTOTYPE'!D320</f>
        <v>5</v>
      </c>
      <c r="Q372" s="24"/>
      <c r="R372" s="8" t="str">
        <f>IF(BIBLE!K239=0,"",BIBLE!K239)</f>
        <v/>
      </c>
      <c r="S372" s="41"/>
      <c r="T372" s="41"/>
      <c r="U372" s="41"/>
      <c r="V372" s="6"/>
      <c r="W372" s="273"/>
      <c r="X372" s="6"/>
      <c r="Y372" s="6"/>
      <c r="Z372" s="6"/>
      <c r="AA372" s="6"/>
      <c r="AB372" s="6"/>
      <c r="AC372" s="6"/>
      <c r="AE372" s="477"/>
      <c r="AF372" s="38"/>
      <c r="AG372" s="38"/>
      <c r="AH372" s="69"/>
      <c r="AI372" s="69"/>
      <c r="AJ372" s="69"/>
      <c r="AK372" s="683"/>
      <c r="AL372" s="683"/>
      <c r="AM372" s="683"/>
      <c r="AN372" s="683"/>
      <c r="AO372" s="683"/>
      <c r="AP372" s="683"/>
      <c r="AQ372" s="683"/>
      <c r="AR372" s="683"/>
    </row>
    <row r="373" spans="1:44" s="7" customFormat="1" ht="17" x14ac:dyDescent="0.2">
      <c r="A373" s="1199"/>
      <c r="B373" s="137" t="str">
        <f>IF(P371&gt;=R371,"Calme","")</f>
        <v>Calme</v>
      </c>
      <c r="C373" s="69"/>
      <c r="D373" s="1736">
        <v>1</v>
      </c>
      <c r="E373" s="37" t="str">
        <f>IF(P$372=D373,1,"x")</f>
        <v>x</v>
      </c>
      <c r="F373" s="20"/>
      <c r="G373" s="20"/>
      <c r="H373" s="20"/>
      <c r="I373" s="20"/>
      <c r="J373" s="20"/>
      <c r="K373" s="20"/>
      <c r="L373" s="20"/>
      <c r="M373" s="20"/>
      <c r="N373" s="20"/>
      <c r="O373" s="20"/>
      <c r="P373" s="24"/>
      <c r="Q373" s="24"/>
      <c r="R373" s="8" t="str">
        <f>IF(BIBLE!K253=0,"",BIBLE!K253)</f>
        <v/>
      </c>
      <c r="S373" s="41"/>
      <c r="T373" s="41"/>
      <c r="U373" s="41"/>
      <c r="V373" s="6"/>
      <c r="W373" s="273"/>
      <c r="X373" s="6"/>
      <c r="Y373" s="6"/>
      <c r="Z373" s="6"/>
      <c r="AA373" s="6"/>
      <c r="AB373" s="6"/>
      <c r="AC373" s="6"/>
      <c r="AE373" s="477"/>
      <c r="AF373" s="38"/>
      <c r="AG373" s="38"/>
      <c r="AH373" s="69"/>
      <c r="AI373" s="69"/>
      <c r="AJ373" s="69"/>
      <c r="AK373" s="683"/>
      <c r="AL373" s="683"/>
      <c r="AM373" s="683"/>
      <c r="AN373" s="683"/>
      <c r="AO373" s="683"/>
      <c r="AP373" s="683"/>
      <c r="AQ373" s="683"/>
      <c r="AR373" s="683"/>
    </row>
    <row r="374" spans="1:44" s="7" customFormat="1" ht="17" x14ac:dyDescent="0.2">
      <c r="A374" s="1199"/>
      <c r="B374" s="137" t="str">
        <f>IF(P371&gt;=R371,"Neutre","")</f>
        <v>Neutre</v>
      </c>
      <c r="C374" s="69"/>
      <c r="D374" s="1736">
        <v>2</v>
      </c>
      <c r="E374" s="37" t="str">
        <f t="shared" ref="E374:E378" si="149">IF(P$372=D374,1,"x")</f>
        <v>x</v>
      </c>
      <c r="F374" s="20"/>
      <c r="G374" s="20"/>
      <c r="H374" s="20"/>
      <c r="I374" s="20"/>
      <c r="J374" s="20"/>
      <c r="K374" s="20"/>
      <c r="L374" s="20"/>
      <c r="M374" s="20"/>
      <c r="N374" s="20"/>
      <c r="O374" s="20"/>
      <c r="P374" s="24"/>
      <c r="Q374" s="24"/>
      <c r="R374" s="8" t="str">
        <f>IF(BIBLE!K254=0,"",BIBLE!K254)</f>
        <v/>
      </c>
      <c r="S374" s="41"/>
      <c r="T374" s="41"/>
      <c r="U374" s="41"/>
      <c r="V374" s="6"/>
      <c r="W374" s="273"/>
      <c r="X374" s="6"/>
      <c r="Y374" s="6"/>
      <c r="Z374" s="6"/>
      <c r="AA374" s="6"/>
      <c r="AB374" s="6"/>
      <c r="AC374" s="6"/>
      <c r="AE374" s="477"/>
      <c r="AF374" s="38"/>
      <c r="AG374" s="38"/>
      <c r="AH374" s="69"/>
      <c r="AI374" s="69"/>
      <c r="AJ374" s="69"/>
      <c r="AK374" s="683"/>
      <c r="AL374" s="683"/>
      <c r="AM374" s="683"/>
      <c r="AN374" s="683"/>
      <c r="AO374" s="683"/>
      <c r="AP374" s="683"/>
      <c r="AQ374" s="683"/>
      <c r="AR374" s="683"/>
    </row>
    <row r="375" spans="1:44" s="7" customFormat="1" ht="17" x14ac:dyDescent="0.2">
      <c r="A375" s="1199"/>
      <c r="B375" s="137" t="str">
        <f>IF(P371&gt;=R371,"Enjoué.e","")</f>
        <v>Enjoué.e</v>
      </c>
      <c r="C375" s="69"/>
      <c r="D375" s="1736">
        <v>3</v>
      </c>
      <c r="E375" s="37" t="str">
        <f t="shared" si="149"/>
        <v>x</v>
      </c>
      <c r="F375" s="20"/>
      <c r="G375" s="20"/>
      <c r="H375" s="20"/>
      <c r="I375" s="20"/>
      <c r="J375" s="20"/>
      <c r="K375" s="20"/>
      <c r="L375" s="20"/>
      <c r="M375" s="20"/>
      <c r="N375" s="20"/>
      <c r="O375" s="20"/>
      <c r="P375" s="24"/>
      <c r="Q375" s="24"/>
      <c r="R375" s="8" t="str">
        <f>IF(BIBLE!K258=0,"",BIBLE!K258)</f>
        <v/>
      </c>
      <c r="S375" s="41"/>
      <c r="T375" s="41"/>
      <c r="U375" s="41"/>
      <c r="V375" s="6"/>
      <c r="W375" s="273"/>
      <c r="X375" s="6"/>
      <c r="Y375" s="6"/>
      <c r="Z375" s="6"/>
      <c r="AA375" s="6"/>
      <c r="AB375" s="6"/>
      <c r="AC375" s="6"/>
      <c r="AE375" s="477"/>
      <c r="AF375" s="38"/>
      <c r="AG375" s="38"/>
      <c r="AH375" s="69"/>
      <c r="AI375" s="69"/>
      <c r="AJ375" s="69"/>
      <c r="AK375" s="683"/>
      <c r="AL375" s="683"/>
      <c r="AM375" s="683"/>
      <c r="AN375" s="683"/>
      <c r="AO375" s="683"/>
      <c r="AP375" s="683"/>
      <c r="AQ375" s="683"/>
      <c r="AR375" s="683"/>
    </row>
    <row r="376" spans="1:44" s="7" customFormat="1" ht="17" x14ac:dyDescent="0.2">
      <c r="A376" s="1199"/>
      <c r="B376" s="137" t="str">
        <f>IF(P371&gt;=R371,"Taciturne","")</f>
        <v>Taciturne</v>
      </c>
      <c r="C376" s="69"/>
      <c r="D376" s="1736">
        <v>4</v>
      </c>
      <c r="E376" s="37" t="str">
        <f t="shared" si="149"/>
        <v>x</v>
      </c>
      <c r="F376" s="20"/>
      <c r="G376" s="20"/>
      <c r="H376" s="20"/>
      <c r="I376" s="20"/>
      <c r="J376" s="20"/>
      <c r="K376" s="20"/>
      <c r="L376" s="20"/>
      <c r="M376" s="20"/>
      <c r="N376" s="20"/>
      <c r="O376" s="20"/>
      <c r="P376" s="24"/>
      <c r="Q376" s="24"/>
      <c r="R376" s="8" t="str">
        <f>IF(BIBLE!K259=0,"",BIBLE!K259)</f>
        <v/>
      </c>
      <c r="S376" s="41"/>
      <c r="T376" s="41"/>
      <c r="U376" s="41"/>
      <c r="V376" s="6"/>
      <c r="W376" s="273"/>
      <c r="X376" s="6"/>
      <c r="Y376" s="6"/>
      <c r="Z376" s="6"/>
      <c r="AA376" s="6"/>
      <c r="AB376" s="6"/>
      <c r="AC376" s="6"/>
      <c r="AE376" s="477"/>
      <c r="AF376" s="38"/>
      <c r="AG376" s="38"/>
      <c r="AH376" s="69"/>
      <c r="AI376" s="69"/>
      <c r="AJ376" s="69"/>
      <c r="AK376" s="683"/>
      <c r="AL376" s="683"/>
      <c r="AM376" s="683"/>
      <c r="AN376" s="683"/>
      <c r="AO376" s="683"/>
      <c r="AP376" s="683"/>
      <c r="AQ376" s="683"/>
      <c r="AR376" s="683"/>
    </row>
    <row r="377" spans="1:44" s="7" customFormat="1" ht="17" x14ac:dyDescent="0.2">
      <c r="A377" s="1199"/>
      <c r="B377" s="137" t="str">
        <f>IF(P371&gt;=R371,"Anxieux","")</f>
        <v>Anxieux</v>
      </c>
      <c r="C377" s="69"/>
      <c r="D377" s="1736">
        <v>5</v>
      </c>
      <c r="E377" s="37">
        <f>IF(P$372=D377,1,"x")</f>
        <v>1</v>
      </c>
      <c r="F377" s="20"/>
      <c r="G377" s="20"/>
      <c r="H377" s="20"/>
      <c r="I377" s="20"/>
      <c r="J377" s="20"/>
      <c r="K377" s="20"/>
      <c r="L377" s="20"/>
      <c r="M377" s="20"/>
      <c r="N377" s="20"/>
      <c r="O377" s="20"/>
      <c r="P377" s="24"/>
      <c r="Q377" s="24"/>
      <c r="R377" s="8" t="str">
        <f>IF(BIBLE!K260=0,"",BIBLE!K260)</f>
        <v/>
      </c>
      <c r="S377" s="41"/>
      <c r="T377" s="41"/>
      <c r="U377" s="41"/>
      <c r="V377" s="6"/>
      <c r="W377" s="273"/>
      <c r="X377" s="6"/>
      <c r="Y377" s="6"/>
      <c r="Z377" s="6"/>
      <c r="AA377" s="6"/>
      <c r="AB377" s="6"/>
      <c r="AC377" s="6"/>
      <c r="AE377" s="477"/>
      <c r="AF377" s="38"/>
      <c r="AG377" s="38"/>
      <c r="AH377" s="69"/>
      <c r="AI377" s="69"/>
      <c r="AJ377" s="69"/>
      <c r="AK377" s="683"/>
      <c r="AL377" s="683"/>
      <c r="AM377" s="683"/>
      <c r="AN377" s="683"/>
      <c r="AO377" s="683"/>
      <c r="AP377" s="683"/>
      <c r="AQ377" s="683"/>
      <c r="AR377" s="683"/>
    </row>
    <row r="378" spans="1:44" s="7" customFormat="1" ht="17" x14ac:dyDescent="0.2">
      <c r="A378" s="1199"/>
      <c r="B378" s="137" t="str">
        <f>IF(P371&gt;=R371,"Agressif","")</f>
        <v>Agressif</v>
      </c>
      <c r="C378" s="69"/>
      <c r="D378" s="1736">
        <v>6</v>
      </c>
      <c r="E378" s="37" t="str">
        <f t="shared" si="149"/>
        <v>x</v>
      </c>
      <c r="F378" s="20"/>
      <c r="G378" s="20"/>
      <c r="H378" s="20"/>
      <c r="I378" s="20"/>
      <c r="J378" s="20"/>
      <c r="K378" s="20"/>
      <c r="L378" s="20"/>
      <c r="M378" s="20"/>
      <c r="N378" s="20"/>
      <c r="O378" s="20"/>
      <c r="P378" s="24"/>
      <c r="Q378" s="24"/>
      <c r="R378" s="8" t="str">
        <f>IF(BIBLE!K261=0,"",BIBLE!K261)</f>
        <v/>
      </c>
      <c r="S378" s="41"/>
      <c r="T378" s="41"/>
      <c r="U378" s="41"/>
      <c r="V378" s="6"/>
      <c r="W378" s="273"/>
      <c r="X378" s="6"/>
      <c r="Y378" s="6"/>
      <c r="Z378" s="6"/>
      <c r="AA378" s="6"/>
      <c r="AB378" s="6"/>
      <c r="AC378" s="6"/>
      <c r="AE378" s="477"/>
      <c r="AF378" s="38"/>
      <c r="AG378" s="38"/>
      <c r="AH378" s="69"/>
      <c r="AI378" s="69"/>
      <c r="AJ378" s="69"/>
      <c r="AK378" s="683"/>
      <c r="AL378" s="683"/>
      <c r="AM378" s="683"/>
      <c r="AN378" s="683"/>
      <c r="AO378" s="683"/>
      <c r="AP378" s="683"/>
      <c r="AQ378" s="683"/>
      <c r="AR378" s="683"/>
    </row>
    <row r="379" spans="1:44" s="8" customFormat="1" x14ac:dyDescent="0.2">
      <c r="A379" s="1199"/>
      <c r="B379" s="137"/>
      <c r="C379" s="22"/>
      <c r="D379" s="1657"/>
      <c r="P379" s="23"/>
      <c r="Q379" s="24"/>
      <c r="R379" s="6"/>
      <c r="AE379" s="477"/>
      <c r="AF379" s="38"/>
      <c r="AG379" s="38"/>
      <c r="AH379" s="69"/>
      <c r="AI379" s="69"/>
      <c r="AJ379" s="69"/>
      <c r="AK379" s="683"/>
      <c r="AL379" s="683"/>
      <c r="AM379" s="683"/>
      <c r="AN379" s="683"/>
      <c r="AO379" s="683"/>
      <c r="AP379" s="683"/>
      <c r="AQ379" s="683"/>
      <c r="AR379" s="683"/>
    </row>
    <row r="380" spans="1:44" s="8" customFormat="1" x14ac:dyDescent="0.2">
      <c r="A380" s="1199"/>
      <c r="B380" s="296"/>
      <c r="C380" s="100"/>
      <c r="D380" s="1657"/>
      <c r="E380" s="40"/>
      <c r="F380" s="40"/>
      <c r="K380" s="7"/>
      <c r="L380" s="67"/>
      <c r="M380" s="6"/>
      <c r="N380" s="500"/>
      <c r="O380" s="40"/>
      <c r="P380" s="40"/>
      <c r="V380" s="452">
        <f>SUM(V263:V379)</f>
        <v>176</v>
      </c>
      <c r="X380" s="452">
        <f t="shared" ref="X380:AC380" si="150">SUM(X263:X379)</f>
        <v>0</v>
      </c>
      <c r="Y380" s="452">
        <f t="shared" si="150"/>
        <v>51</v>
      </c>
      <c r="Z380" s="452">
        <f t="shared" si="150"/>
        <v>102</v>
      </c>
      <c r="AA380" s="452">
        <f t="shared" si="150"/>
        <v>204</v>
      </c>
      <c r="AB380" s="452">
        <f t="shared" si="150"/>
        <v>357</v>
      </c>
      <c r="AC380" s="452">
        <f t="shared" si="150"/>
        <v>510</v>
      </c>
      <c r="AD380" s="63">
        <f>V380/AC380</f>
        <v>0.34509803921568627</v>
      </c>
      <c r="AE380" s="1247">
        <f t="shared" ref="AE380:AR380" si="151">SUM(AE263:AE369)</f>
        <v>0</v>
      </c>
      <c r="AF380" s="1714"/>
      <c r="AG380" s="1714"/>
      <c r="AH380" s="1248">
        <f t="shared" si="151"/>
        <v>88.5</v>
      </c>
      <c r="AI380" s="1248">
        <f t="shared" si="151"/>
        <v>69</v>
      </c>
      <c r="AJ380" s="1248">
        <f t="shared" si="151"/>
        <v>10.5</v>
      </c>
      <c r="AK380" s="1249">
        <f t="shared" si="151"/>
        <v>6</v>
      </c>
      <c r="AL380" s="1249">
        <f t="shared" si="151"/>
        <v>1</v>
      </c>
      <c r="AM380" s="1249">
        <f t="shared" si="151"/>
        <v>15</v>
      </c>
      <c r="AN380" s="1249">
        <f t="shared" si="151"/>
        <v>21</v>
      </c>
      <c r="AO380" s="1249">
        <f t="shared" si="151"/>
        <v>31</v>
      </c>
      <c r="AP380" s="1249">
        <f t="shared" si="151"/>
        <v>22</v>
      </c>
      <c r="AQ380" s="1249">
        <f t="shared" si="151"/>
        <v>42</v>
      </c>
      <c r="AR380" s="1249">
        <f t="shared" si="151"/>
        <v>30</v>
      </c>
    </row>
    <row r="381" spans="1:44" s="8" customFormat="1" x14ac:dyDescent="0.2">
      <c r="A381" s="1199"/>
      <c r="B381" s="296"/>
      <c r="C381" s="501"/>
      <c r="D381" s="1657"/>
      <c r="E381" s="273"/>
      <c r="F381" s="273"/>
      <c r="G381" s="273"/>
      <c r="H381" s="273"/>
      <c r="I381" s="273"/>
      <c r="J381" s="273"/>
      <c r="K381" s="273"/>
      <c r="L381" s="40"/>
      <c r="M381" s="40"/>
      <c r="N381" s="40"/>
      <c r="O381" s="40"/>
      <c r="P381" s="273"/>
      <c r="V381" s="6"/>
      <c r="Y381" s="7" t="s">
        <v>358</v>
      </c>
      <c r="Z381" s="8" t="s">
        <v>359</v>
      </c>
      <c r="AA381" s="8" t="s">
        <v>26</v>
      </c>
      <c r="AB381" s="8" t="s">
        <v>27</v>
      </c>
      <c r="AC381" s="8" t="s">
        <v>1985</v>
      </c>
      <c r="AE381" s="1244"/>
      <c r="AF381" s="1717"/>
      <c r="AG381" s="1717"/>
      <c r="AH381" s="1245">
        <f>AH380/SUM($AH$380:$AJ$380)</f>
        <v>0.5267857142857143</v>
      </c>
      <c r="AI381" s="1245">
        <f>AI380/SUM($AH$380:$AJ$380)</f>
        <v>0.4107142857142857</v>
      </c>
      <c r="AJ381" s="1245">
        <f>AJ380/SUM($AH$380:$AJ$380)</f>
        <v>6.25E-2</v>
      </c>
      <c r="AK381" s="1246">
        <f>AK380/SUM($AK$380:$AR$380)</f>
        <v>3.5714285714285712E-2</v>
      </c>
      <c r="AL381" s="1246">
        <f t="shared" ref="AL381:AR381" si="152">AL380/SUM($AK$380:$AR$380)</f>
        <v>5.9523809523809521E-3</v>
      </c>
      <c r="AM381" s="1246">
        <f t="shared" si="152"/>
        <v>8.9285714285714288E-2</v>
      </c>
      <c r="AN381" s="1246">
        <f t="shared" si="152"/>
        <v>0.125</v>
      </c>
      <c r="AO381" s="1246">
        <f t="shared" si="152"/>
        <v>0.18452380952380953</v>
      </c>
      <c r="AP381" s="1246">
        <f t="shared" si="152"/>
        <v>0.13095238095238096</v>
      </c>
      <c r="AQ381" s="1246">
        <f t="shared" si="152"/>
        <v>0.25</v>
      </c>
      <c r="AR381" s="1246">
        <f t="shared" si="152"/>
        <v>0.17857142857142858</v>
      </c>
    </row>
    <row r="382" spans="1:44" s="8" customFormat="1" x14ac:dyDescent="0.2">
      <c r="A382" s="1199"/>
      <c r="B382" s="296"/>
      <c r="C382" s="501"/>
      <c r="D382" s="1657"/>
      <c r="E382" s="273"/>
      <c r="F382" s="273"/>
      <c r="G382" s="273"/>
      <c r="H382" s="273"/>
      <c r="I382" s="273"/>
      <c r="J382" s="273"/>
      <c r="K382" s="273"/>
      <c r="L382" s="40"/>
      <c r="M382" s="40"/>
      <c r="N382" s="40"/>
      <c r="O382" s="40"/>
      <c r="P382" s="273"/>
      <c r="V382" s="6"/>
      <c r="X382" s="6"/>
      <c r="Y382" s="6"/>
      <c r="Z382" s="8" t="s">
        <v>1058</v>
      </c>
      <c r="AA382" s="2183">
        <f>(AA380-Z380)/(AC380-Z380)</f>
        <v>0.25</v>
      </c>
      <c r="AB382" s="2183">
        <f>(AB380-AA380)/(AC380-Z380)</f>
        <v>0.375</v>
      </c>
      <c r="AC382" s="8" t="s">
        <v>1059</v>
      </c>
      <c r="AE382" s="477"/>
      <c r="AF382" s="38"/>
      <c r="AG382" s="38"/>
      <c r="AH382" s="69"/>
      <c r="AI382" s="69"/>
      <c r="AJ382" s="69"/>
      <c r="AK382" s="683"/>
      <c r="AL382" s="683"/>
      <c r="AM382" s="683"/>
      <c r="AN382" s="683"/>
      <c r="AO382" s="683"/>
      <c r="AP382" s="683"/>
      <c r="AQ382" s="683"/>
      <c r="AR382" s="683"/>
    </row>
    <row r="383" spans="1:44" s="8" customFormat="1" x14ac:dyDescent="0.2">
      <c r="A383" s="1199"/>
      <c r="B383" s="296"/>
      <c r="C383" s="501"/>
      <c r="D383" s="1657"/>
      <c r="E383" s="273"/>
      <c r="F383" s="273"/>
      <c r="G383" s="273"/>
      <c r="H383" s="273"/>
      <c r="I383" s="273"/>
      <c r="J383" s="273"/>
      <c r="K383" s="273"/>
      <c r="L383" s="40"/>
      <c r="M383" s="40"/>
      <c r="N383" s="40"/>
      <c r="O383" s="40"/>
      <c r="P383" s="273"/>
      <c r="V383" s="6"/>
      <c r="X383" s="6"/>
      <c r="Y383" s="6"/>
      <c r="Z383" s="6"/>
      <c r="AA383" s="6"/>
      <c r="AB383" s="6"/>
      <c r="AC383" s="6"/>
      <c r="AE383" s="477"/>
      <c r="AF383" s="38"/>
      <c r="AG383" s="38"/>
      <c r="AH383" s="69"/>
      <c r="AI383" s="69"/>
      <c r="AJ383" s="69"/>
      <c r="AK383" s="683"/>
      <c r="AL383" s="683"/>
      <c r="AM383" s="683"/>
      <c r="AN383" s="683"/>
      <c r="AO383" s="683"/>
      <c r="AP383" s="683"/>
      <c r="AQ383" s="683"/>
      <c r="AR383" s="683"/>
    </row>
    <row r="384" spans="1:44" s="8" customFormat="1" x14ac:dyDescent="0.2">
      <c r="A384" s="1199"/>
      <c r="B384" s="296"/>
      <c r="D384" s="267"/>
      <c r="E384" s="277"/>
      <c r="P384" s="67"/>
      <c r="V384" s="6"/>
      <c r="X384" s="6"/>
      <c r="Y384" s="6"/>
      <c r="Z384" s="6"/>
      <c r="AA384" s="6"/>
      <c r="AB384" s="6"/>
      <c r="AC384" s="6"/>
      <c r="AE384" s="477"/>
      <c r="AF384" s="38"/>
      <c r="AG384" s="38"/>
      <c r="AH384" s="69"/>
      <c r="AI384" s="69"/>
      <c r="AJ384" s="69"/>
      <c r="AK384" s="683"/>
      <c r="AL384" s="683"/>
      <c r="AM384" s="683"/>
      <c r="AN384" s="683"/>
      <c r="AO384" s="683"/>
      <c r="AP384" s="683"/>
      <c r="AQ384" s="683"/>
      <c r="AR384" s="683"/>
    </row>
    <row r="385" spans="1:44" s="7" customFormat="1" x14ac:dyDescent="0.2">
      <c r="D385" s="267"/>
      <c r="V385" s="8"/>
      <c r="X385" s="8"/>
      <c r="Y385" s="8"/>
      <c r="Z385" s="8"/>
      <c r="AA385" s="8"/>
      <c r="AB385" s="8"/>
      <c r="AC385" s="8"/>
      <c r="AE385" s="477"/>
      <c r="AF385" s="38"/>
      <c r="AG385" s="38"/>
      <c r="AH385" s="69"/>
      <c r="AI385" s="69"/>
      <c r="AJ385" s="69"/>
      <c r="AK385" s="683"/>
      <c r="AL385" s="683"/>
      <c r="AM385" s="683"/>
      <c r="AN385" s="683"/>
      <c r="AO385" s="683"/>
      <c r="AP385" s="683"/>
      <c r="AQ385" s="683"/>
      <c r="AR385" s="683"/>
    </row>
    <row r="386" spans="1:44" s="7" customFormat="1" ht="37" thickBot="1" x14ac:dyDescent="0.25">
      <c r="A386" s="519" t="s">
        <v>410</v>
      </c>
      <c r="B386" s="25"/>
      <c r="C386" s="22"/>
      <c r="D386" s="557" t="s">
        <v>239</v>
      </c>
      <c r="E386" s="472">
        <f>$E$52</f>
        <v>0</v>
      </c>
      <c r="F386" s="275">
        <f>$F$52</f>
        <v>0</v>
      </c>
      <c r="G386" s="275">
        <f>$G$52</f>
        <v>1</v>
      </c>
      <c r="H386" s="275">
        <f>$H$52</f>
        <v>2</v>
      </c>
      <c r="I386" s="275">
        <f>$I$52</f>
        <v>4</v>
      </c>
      <c r="J386" s="275">
        <f>$J$52</f>
        <v>7</v>
      </c>
      <c r="K386" s="275">
        <f>$K$52</f>
        <v>10</v>
      </c>
      <c r="N386" s="40"/>
      <c r="O386" s="40"/>
      <c r="P386" s="60" t="s">
        <v>227</v>
      </c>
      <c r="Q386" s="60" t="s">
        <v>228</v>
      </c>
      <c r="R386" s="60" t="s">
        <v>237</v>
      </c>
      <c r="V386" s="8"/>
      <c r="X386" s="8"/>
      <c r="Y386" s="8"/>
      <c r="Z386" s="8"/>
      <c r="AA386" s="8"/>
      <c r="AB386" s="8"/>
      <c r="AC386" s="8"/>
      <c r="AE386" s="477"/>
      <c r="AF386" s="38"/>
      <c r="AG386" s="38"/>
      <c r="AH386" s="69"/>
      <c r="AI386" s="69"/>
      <c r="AJ386" s="69"/>
      <c r="AK386" s="683"/>
      <c r="AL386" s="683"/>
      <c r="AM386" s="683"/>
      <c r="AN386" s="683"/>
      <c r="AO386" s="683"/>
      <c r="AP386" s="683"/>
      <c r="AQ386" s="683"/>
      <c r="AR386" s="683"/>
    </row>
    <row r="387" spans="1:44" s="7" customFormat="1" ht="63" customHeight="1" thickTop="1" x14ac:dyDescent="0.2">
      <c r="A387" s="1198" t="str">
        <f>BIBLE!E213</f>
        <v>PCR20</v>
      </c>
      <c r="B387" s="133" t="str">
        <f>IF($P$312&gt;=4,BIBLE!F213,"")</f>
        <v/>
      </c>
      <c r="C387" s="100"/>
      <c r="D387" s="1290"/>
      <c r="E387" s="8"/>
      <c r="F387" s="19"/>
      <c r="G387" s="19"/>
      <c r="H387" s="19"/>
      <c r="I387" s="19"/>
      <c r="J387" s="19"/>
      <c r="K387" s="19"/>
      <c r="L387" s="19"/>
      <c r="M387" s="19"/>
      <c r="N387" s="19"/>
      <c r="O387" s="19"/>
      <c r="P387" s="1462">
        <f>'TEST_pour PROTOTYPE'!D339</f>
        <v>0</v>
      </c>
      <c r="Q387" s="24">
        <f>P387*D387</f>
        <v>0</v>
      </c>
      <c r="R387" s="273"/>
      <c r="V387" s="8"/>
      <c r="X387" s="8"/>
      <c r="Y387" s="8"/>
      <c r="Z387" s="8"/>
      <c r="AA387" s="8"/>
      <c r="AB387" s="8"/>
      <c r="AC387" s="8"/>
      <c r="AE387" s="477"/>
      <c r="AF387" s="38"/>
      <c r="AG387" s="38"/>
      <c r="AH387" s="69"/>
      <c r="AI387" s="69"/>
      <c r="AJ387" s="69"/>
      <c r="AK387" s="683"/>
      <c r="AL387" s="683"/>
      <c r="AM387" s="683"/>
      <c r="AN387" s="683"/>
      <c r="AO387" s="683"/>
      <c r="AP387" s="683"/>
      <c r="AQ387" s="683"/>
      <c r="AR387" s="683"/>
    </row>
    <row r="388" spans="1:44" s="7" customFormat="1" ht="46" customHeight="1" x14ac:dyDescent="0.2">
      <c r="A388" s="1198"/>
      <c r="B388" s="133" t="s">
        <v>1494</v>
      </c>
      <c r="C388" s="100"/>
      <c r="D388" s="1655">
        <v>1</v>
      </c>
      <c r="E388" s="37" t="str">
        <f>IF(P$387=D388,1,"x")</f>
        <v>x</v>
      </c>
      <c r="F388" s="19"/>
      <c r="G388" s="19"/>
      <c r="H388" s="19"/>
      <c r="I388" s="19"/>
      <c r="J388" s="19"/>
      <c r="K388" s="19"/>
      <c r="L388" s="19"/>
      <c r="M388" s="19"/>
      <c r="N388" s="19"/>
      <c r="O388" s="19"/>
      <c r="P388" s="23"/>
      <c r="Q388" s="24"/>
      <c r="R388" s="273"/>
      <c r="V388" s="8"/>
      <c r="X388" s="8"/>
      <c r="Y388" s="8"/>
      <c r="Z388" s="8"/>
      <c r="AA388" s="8"/>
      <c r="AB388" s="8"/>
      <c r="AC388" s="8"/>
      <c r="AE388" s="477"/>
      <c r="AF388" s="38"/>
      <c r="AG388" s="38"/>
      <c r="AH388" s="69"/>
      <c r="AI388" s="69"/>
      <c r="AJ388" s="69"/>
      <c r="AK388" s="683"/>
      <c r="AL388" s="683"/>
      <c r="AM388" s="683"/>
      <c r="AN388" s="683"/>
      <c r="AO388" s="683"/>
      <c r="AP388" s="683"/>
      <c r="AQ388" s="683"/>
      <c r="AR388" s="683"/>
    </row>
    <row r="389" spans="1:44" s="7" customFormat="1" ht="46" customHeight="1" x14ac:dyDescent="0.2">
      <c r="A389" s="1198"/>
      <c r="B389" s="133" t="s">
        <v>1495</v>
      </c>
      <c r="C389" s="100"/>
      <c r="D389" s="1655">
        <v>2</v>
      </c>
      <c r="E389" s="37" t="str">
        <f t="shared" ref="E389:E392" si="153">IF(P$387=D389,1,"x")</f>
        <v>x</v>
      </c>
      <c r="F389" s="19"/>
      <c r="G389" s="19"/>
      <c r="H389" s="19"/>
      <c r="I389" s="19"/>
      <c r="J389" s="19"/>
      <c r="K389" s="19"/>
      <c r="L389" s="19"/>
      <c r="M389" s="19"/>
      <c r="N389" s="19"/>
      <c r="O389" s="19"/>
      <c r="P389" s="23"/>
      <c r="Q389" s="24"/>
      <c r="R389" s="273"/>
      <c r="V389"/>
      <c r="X389" s="8"/>
      <c r="Y389" s="8"/>
      <c r="Z389" s="8"/>
      <c r="AA389" s="8"/>
      <c r="AB389" s="8"/>
      <c r="AC389" s="8"/>
      <c r="AE389" s="477"/>
      <c r="AF389" s="38"/>
      <c r="AG389" s="38"/>
      <c r="AH389" s="69"/>
      <c r="AI389" s="69"/>
      <c r="AJ389" s="69"/>
      <c r="AK389" s="683"/>
      <c r="AL389" s="683"/>
      <c r="AM389" s="683"/>
      <c r="AN389" s="683"/>
      <c r="AO389" s="683"/>
      <c r="AP389" s="683"/>
      <c r="AQ389" s="683"/>
      <c r="AR389" s="683"/>
    </row>
    <row r="390" spans="1:44" s="7" customFormat="1" ht="46" customHeight="1" x14ac:dyDescent="0.2">
      <c r="A390" s="1198"/>
      <c r="B390" s="133" t="s">
        <v>1496</v>
      </c>
      <c r="C390" s="100"/>
      <c r="D390" s="1655">
        <v>3</v>
      </c>
      <c r="E390" s="37" t="str">
        <f t="shared" si="153"/>
        <v>x</v>
      </c>
      <c r="F390" s="19"/>
      <c r="G390" s="19"/>
      <c r="H390" s="19"/>
      <c r="I390" s="19"/>
      <c r="J390" s="19"/>
      <c r="K390" s="19"/>
      <c r="L390" s="19"/>
      <c r="M390" s="19"/>
      <c r="N390" s="19"/>
      <c r="O390" s="19"/>
      <c r="P390" s="23"/>
      <c r="Q390" s="24"/>
      <c r="R390" s="273"/>
      <c r="V390"/>
      <c r="X390" s="8"/>
      <c r="Y390" s="8"/>
      <c r="Z390" s="8"/>
      <c r="AA390" s="8"/>
      <c r="AB390" s="8"/>
      <c r="AC390" s="8"/>
      <c r="AE390" s="477"/>
      <c r="AF390" s="38"/>
      <c r="AG390" s="38"/>
      <c r="AH390" s="69"/>
      <c r="AI390" s="69"/>
      <c r="AJ390" s="69"/>
      <c r="AK390" s="683"/>
      <c r="AL390" s="683"/>
      <c r="AM390" s="683"/>
      <c r="AN390" s="683"/>
      <c r="AO390" s="683"/>
      <c r="AP390" s="683"/>
      <c r="AQ390" s="683"/>
      <c r="AR390" s="683"/>
    </row>
    <row r="391" spans="1:44" s="7" customFormat="1" ht="46" customHeight="1" x14ac:dyDescent="0.2">
      <c r="A391" s="1198"/>
      <c r="B391" s="133" t="s">
        <v>1497</v>
      </c>
      <c r="C391" s="100"/>
      <c r="D391" s="1655">
        <v>4</v>
      </c>
      <c r="E391" s="37" t="str">
        <f t="shared" si="153"/>
        <v>x</v>
      </c>
      <c r="F391" s="19"/>
      <c r="G391" s="19"/>
      <c r="H391" s="19"/>
      <c r="I391" s="19"/>
      <c r="J391" s="19"/>
      <c r="K391" s="19"/>
      <c r="L391" s="19"/>
      <c r="M391" s="19"/>
      <c r="N391" s="19"/>
      <c r="O391" s="19"/>
      <c r="P391" s="23"/>
      <c r="Q391" s="24"/>
      <c r="R391" s="273"/>
      <c r="V391"/>
      <c r="X391" s="8"/>
      <c r="Y391" s="8"/>
      <c r="Z391" s="8"/>
      <c r="AA391" s="8"/>
      <c r="AB391" s="8"/>
      <c r="AC391" s="8"/>
      <c r="AE391" s="477"/>
      <c r="AF391" s="38"/>
      <c r="AG391" s="38"/>
      <c r="AH391" s="69"/>
      <c r="AI391" s="69"/>
      <c r="AJ391" s="69"/>
      <c r="AK391" s="683"/>
      <c r="AL391" s="683"/>
      <c r="AM391" s="683"/>
      <c r="AN391" s="683"/>
      <c r="AO391" s="683"/>
      <c r="AP391" s="683"/>
      <c r="AQ391" s="683"/>
      <c r="AR391" s="683"/>
    </row>
    <row r="392" spans="1:44" s="7" customFormat="1" ht="46" customHeight="1" x14ac:dyDescent="0.2">
      <c r="A392" s="1198"/>
      <c r="B392" s="133" t="str">
        <f>IF($P$312&gt;=4,"Aucune de ces réponses ","")</f>
        <v/>
      </c>
      <c r="C392" s="100"/>
      <c r="D392" s="1655">
        <v>5</v>
      </c>
      <c r="E392" s="37" t="str">
        <f t="shared" si="153"/>
        <v>x</v>
      </c>
      <c r="F392" s="19"/>
      <c r="G392" s="19"/>
      <c r="H392" s="19"/>
      <c r="I392" s="19"/>
      <c r="J392" s="19"/>
      <c r="K392" s="19"/>
      <c r="L392" s="19"/>
      <c r="M392" s="19"/>
      <c r="N392" s="19"/>
      <c r="O392" s="19"/>
      <c r="P392" s="23"/>
      <c r="Q392" s="24"/>
      <c r="R392" s="273"/>
      <c r="V392"/>
      <c r="X392" s="8"/>
      <c r="Y392" s="8"/>
      <c r="Z392" s="8"/>
      <c r="AA392" s="8"/>
      <c r="AB392" s="8"/>
      <c r="AC392" s="8"/>
      <c r="AE392" s="477"/>
      <c r="AF392" s="38"/>
      <c r="AG392" s="38"/>
      <c r="AH392" s="69"/>
      <c r="AI392" s="69"/>
      <c r="AJ392" s="69"/>
      <c r="AK392" s="683"/>
      <c r="AL392" s="683"/>
      <c r="AM392" s="683"/>
      <c r="AN392" s="683"/>
      <c r="AO392" s="683"/>
      <c r="AP392" s="683"/>
      <c r="AQ392" s="683"/>
      <c r="AR392" s="683"/>
    </row>
    <row r="393" spans="1:44" s="7" customFormat="1" x14ac:dyDescent="0.2">
      <c r="A393" s="1198"/>
      <c r="B393" s="133"/>
      <c r="C393" s="100"/>
      <c r="D393" s="1290"/>
      <c r="E393" s="19"/>
      <c r="F393" s="19"/>
      <c r="G393" s="19"/>
      <c r="H393" s="19"/>
      <c r="I393" s="19"/>
      <c r="J393" s="19"/>
      <c r="K393" s="19"/>
      <c r="L393" s="19"/>
      <c r="M393" s="19"/>
      <c r="N393" s="19"/>
      <c r="O393" s="19"/>
      <c r="P393" s="23"/>
      <c r="Q393" s="24"/>
      <c r="R393" s="273"/>
      <c r="V393"/>
      <c r="X393" s="8"/>
      <c r="Y393" s="8"/>
      <c r="Z393" s="8"/>
      <c r="AA393" s="8"/>
      <c r="AB393" s="8"/>
      <c r="AC393" s="8"/>
      <c r="AE393" s="477"/>
      <c r="AF393" s="38"/>
      <c r="AG393" s="38"/>
      <c r="AH393" s="69"/>
      <c r="AI393" s="69"/>
      <c r="AJ393" s="69"/>
      <c r="AK393" s="683"/>
      <c r="AL393" s="683"/>
      <c r="AM393" s="683"/>
      <c r="AN393" s="683"/>
      <c r="AO393" s="683"/>
      <c r="AP393" s="683"/>
      <c r="AQ393" s="683"/>
      <c r="AR393" s="683"/>
    </row>
    <row r="394" spans="1:44" s="7" customFormat="1" ht="60" customHeight="1" x14ac:dyDescent="0.2">
      <c r="A394" s="1198" t="str">
        <f>BIBLE!E214</f>
        <v>PCR21</v>
      </c>
      <c r="B394" s="133" t="str">
        <f>IF(OR($P$269&gt;=4,$P$325&gt;=4),BIBLE!F214,"")</f>
        <v/>
      </c>
      <c r="C394" s="100"/>
      <c r="D394" s="1290"/>
      <c r="E394" s="8"/>
      <c r="F394" s="19"/>
      <c r="G394" s="19"/>
      <c r="H394" s="19"/>
      <c r="I394" s="19"/>
      <c r="J394" s="19"/>
      <c r="K394" s="19"/>
      <c r="L394" s="19"/>
      <c r="M394" s="19"/>
      <c r="N394" s="19"/>
      <c r="O394" s="19"/>
      <c r="P394" s="1462">
        <f>'TEST_pour PROTOTYPE'!D340</f>
        <v>0</v>
      </c>
      <c r="Q394" s="24">
        <f>P394*D394</f>
        <v>0</v>
      </c>
      <c r="R394" s="273"/>
      <c r="V394" s="8"/>
      <c r="W394"/>
      <c r="X394" s="8"/>
      <c r="Y394" s="8"/>
      <c r="Z394" s="8"/>
      <c r="AA394" s="8"/>
      <c r="AB394" s="8"/>
      <c r="AC394" s="8"/>
      <c r="AE394" s="477"/>
      <c r="AF394" s="38"/>
      <c r="AG394" s="38"/>
      <c r="AH394" s="69"/>
      <c r="AI394" s="69"/>
      <c r="AJ394" s="69"/>
      <c r="AK394" s="683"/>
      <c r="AL394" s="683"/>
      <c r="AM394" s="683"/>
      <c r="AN394" s="683"/>
      <c r="AO394" s="683"/>
      <c r="AP394" s="683"/>
      <c r="AQ394" s="683"/>
      <c r="AR394" s="683"/>
    </row>
    <row r="395" spans="1:44" s="7" customFormat="1" ht="37" customHeight="1" x14ac:dyDescent="0.2">
      <c r="A395" s="1198"/>
      <c r="B395" s="133" t="s">
        <v>1498</v>
      </c>
      <c r="C395" s="100"/>
      <c r="D395" s="1655">
        <v>1</v>
      </c>
      <c r="E395" s="37" t="str">
        <f>IF(P$394=D395,1,"x")</f>
        <v>x</v>
      </c>
      <c r="F395" s="8"/>
      <c r="G395" s="8"/>
      <c r="H395" s="8"/>
      <c r="I395" s="8"/>
      <c r="J395" s="8"/>
      <c r="K395" s="8"/>
      <c r="L395" s="8"/>
      <c r="M395" s="8"/>
      <c r="N395" s="8"/>
      <c r="O395" s="8"/>
      <c r="P395" s="23"/>
      <c r="Q395" s="24"/>
      <c r="R395" s="273"/>
      <c r="V395" s="65"/>
      <c r="W395"/>
      <c r="X395" s="8"/>
      <c r="Y395" s="8"/>
      <c r="Z395" s="8"/>
      <c r="AA395" s="8"/>
      <c r="AB395" s="8"/>
      <c r="AC395" s="8"/>
      <c r="AE395" s="477"/>
      <c r="AF395" s="38"/>
      <c r="AG395" s="38"/>
      <c r="AH395" s="69"/>
      <c r="AI395" s="69"/>
      <c r="AJ395" s="69"/>
      <c r="AK395" s="683"/>
      <c r="AL395" s="683"/>
      <c r="AM395" s="683"/>
      <c r="AN395" s="683"/>
      <c r="AO395" s="683"/>
      <c r="AP395" s="683"/>
      <c r="AQ395" s="683"/>
      <c r="AR395" s="683"/>
    </row>
    <row r="396" spans="1:44" s="7" customFormat="1" ht="37" customHeight="1" x14ac:dyDescent="0.2">
      <c r="A396" s="1198"/>
      <c r="B396" s="133" t="s">
        <v>1499</v>
      </c>
      <c r="C396" s="100"/>
      <c r="D396" s="1655">
        <v>2</v>
      </c>
      <c r="E396" s="37" t="str">
        <f t="shared" ref="E396:E398" si="154">IF(P$394=D396,1,"x")</f>
        <v>x</v>
      </c>
      <c r="F396" s="8"/>
      <c r="G396" s="8"/>
      <c r="H396" s="8"/>
      <c r="I396" s="8"/>
      <c r="J396" s="8"/>
      <c r="K396" s="8"/>
      <c r="L396" s="8"/>
      <c r="M396" s="8"/>
      <c r="N396" s="8"/>
      <c r="O396" s="8"/>
      <c r="P396" s="23"/>
      <c r="Q396" s="24"/>
      <c r="R396" s="273"/>
      <c r="V396" s="8"/>
      <c r="W396"/>
      <c r="X396" s="8"/>
      <c r="Y396" s="8"/>
      <c r="Z396" s="8"/>
      <c r="AA396" s="8"/>
      <c r="AB396" s="8"/>
      <c r="AC396" s="8"/>
      <c r="AE396" s="477"/>
      <c r="AF396" s="38"/>
      <c r="AG396" s="38"/>
      <c r="AH396" s="69"/>
      <c r="AI396" s="69"/>
      <c r="AJ396" s="69"/>
      <c r="AK396" s="683"/>
      <c r="AL396" s="683"/>
      <c r="AM396" s="683"/>
      <c r="AN396" s="683"/>
      <c r="AO396" s="683"/>
      <c r="AP396" s="683"/>
      <c r="AQ396" s="683"/>
      <c r="AR396" s="683"/>
    </row>
    <row r="397" spans="1:44" s="7" customFormat="1" ht="37" customHeight="1" x14ac:dyDescent="0.2">
      <c r="A397" s="1198"/>
      <c r="B397" s="133" t="s">
        <v>1500</v>
      </c>
      <c r="C397" s="100"/>
      <c r="D397" s="1655">
        <v>3</v>
      </c>
      <c r="E397" s="37" t="str">
        <f t="shared" si="154"/>
        <v>x</v>
      </c>
      <c r="F397" s="8"/>
      <c r="G397" s="8"/>
      <c r="H397" s="8"/>
      <c r="I397" s="8"/>
      <c r="J397" s="8"/>
      <c r="K397" s="8"/>
      <c r="L397" s="8"/>
      <c r="M397" s="8"/>
      <c r="N397" s="8"/>
      <c r="O397" s="8"/>
      <c r="P397" s="23"/>
      <c r="Q397" s="24"/>
      <c r="R397" s="273"/>
      <c r="V397" s="8"/>
      <c r="W397"/>
      <c r="X397" s="8"/>
      <c r="Y397" s="8"/>
      <c r="Z397" s="8"/>
      <c r="AA397" s="8"/>
      <c r="AB397" s="8"/>
      <c r="AC397" s="8"/>
      <c r="AE397" s="477"/>
      <c r="AF397" s="38"/>
      <c r="AG397" s="38"/>
      <c r="AH397" s="69"/>
      <c r="AI397" s="69"/>
      <c r="AJ397" s="69"/>
      <c r="AK397" s="683"/>
      <c r="AL397" s="683"/>
      <c r="AM397" s="683"/>
      <c r="AN397" s="683"/>
      <c r="AO397" s="683"/>
      <c r="AP397" s="683"/>
      <c r="AQ397" s="683"/>
      <c r="AR397" s="683"/>
    </row>
    <row r="398" spans="1:44" s="7" customFormat="1" ht="37" customHeight="1" x14ac:dyDescent="0.2">
      <c r="A398" s="1198"/>
      <c r="B398" s="133" t="str">
        <f>IF(OR($P$269&gt;=4,$P$288&gt;=4),"Aucune de ces réponses","")</f>
        <v/>
      </c>
      <c r="C398" s="100"/>
      <c r="D398" s="1655">
        <v>4</v>
      </c>
      <c r="E398" s="37" t="str">
        <f t="shared" si="154"/>
        <v>x</v>
      </c>
      <c r="V398" s="8"/>
      <c r="X398" s="8"/>
      <c r="Y398" s="8"/>
      <c r="Z398" s="8"/>
      <c r="AA398" s="8"/>
      <c r="AB398" s="8"/>
      <c r="AC398" s="8"/>
      <c r="AE398" s="477"/>
      <c r="AF398" s="38"/>
      <c r="AG398" s="38"/>
      <c r="AH398" s="69"/>
      <c r="AI398" s="69"/>
      <c r="AJ398" s="69"/>
      <c r="AK398" s="683"/>
      <c r="AL398" s="683"/>
      <c r="AM398" s="683"/>
      <c r="AN398" s="683"/>
      <c r="AO398" s="683"/>
      <c r="AP398" s="683"/>
      <c r="AQ398" s="683"/>
      <c r="AR398" s="683"/>
    </row>
    <row r="399" spans="1:44" s="7" customFormat="1" x14ac:dyDescent="0.2">
      <c r="A399" s="1198"/>
      <c r="B399" s="133"/>
      <c r="D399" s="267"/>
      <c r="V399" s="8"/>
      <c r="X399" s="2487" t="s">
        <v>356</v>
      </c>
      <c r="Y399" s="2487"/>
      <c r="Z399" s="2487"/>
      <c r="AA399" s="2487"/>
      <c r="AB399" s="2487"/>
      <c r="AC399" s="2487"/>
      <c r="AE399" s="477"/>
      <c r="AF399" s="38"/>
      <c r="AG399" s="38"/>
      <c r="AH399" s="69"/>
      <c r="AI399" s="69"/>
      <c r="AJ399" s="69"/>
      <c r="AK399" s="683"/>
      <c r="AL399" s="683"/>
      <c r="AM399" s="683"/>
      <c r="AN399" s="683"/>
      <c r="AO399" s="683"/>
      <c r="AP399" s="683"/>
      <c r="AQ399" s="683"/>
      <c r="AR399" s="683"/>
    </row>
    <row r="400" spans="1:44" s="7" customFormat="1" x14ac:dyDescent="0.2">
      <c r="A400" s="105"/>
      <c r="B400" s="25"/>
      <c r="C400" s="109"/>
      <c r="D400" s="267"/>
      <c r="G400" s="8"/>
      <c r="H400" s="8"/>
      <c r="I400" s="8"/>
      <c r="J400" s="8"/>
      <c r="P400" s="67"/>
      <c r="Q400" s="6"/>
      <c r="V400" s="8"/>
      <c r="X400" s="448">
        <f>X$109</f>
        <v>0</v>
      </c>
      <c r="Y400" s="448">
        <f t="shared" ref="Y400:AC400" si="155">Y$109</f>
        <v>1</v>
      </c>
      <c r="Z400" s="448">
        <f t="shared" si="155"/>
        <v>2</v>
      </c>
      <c r="AA400" s="448">
        <f t="shared" si="155"/>
        <v>4</v>
      </c>
      <c r="AB400" s="448">
        <f t="shared" si="155"/>
        <v>7</v>
      </c>
      <c r="AC400" s="448">
        <f t="shared" si="155"/>
        <v>10</v>
      </c>
      <c r="AE400" s="477"/>
      <c r="AF400" s="38"/>
      <c r="AG400" s="38"/>
      <c r="AH400" s="69"/>
      <c r="AI400" s="69"/>
      <c r="AJ400" s="69"/>
      <c r="AK400" s="683"/>
      <c r="AL400" s="683"/>
      <c r="AM400" s="683"/>
      <c r="AN400" s="683"/>
      <c r="AO400" s="683"/>
      <c r="AP400" s="683"/>
      <c r="AQ400" s="683"/>
      <c r="AR400" s="683"/>
    </row>
    <row r="401" spans="1:71" s="7" customFormat="1" ht="37" thickBot="1" x14ac:dyDescent="0.25">
      <c r="A401" s="521" t="s">
        <v>411</v>
      </c>
      <c r="B401" s="25"/>
      <c r="C401" s="22"/>
      <c r="D401" s="557" t="s">
        <v>239</v>
      </c>
      <c r="E401" s="275">
        <f>$E$97</f>
        <v>0</v>
      </c>
      <c r="F401" s="275">
        <f>$F$97</f>
        <v>1</v>
      </c>
      <c r="G401" s="275">
        <f>$G$97</f>
        <v>2</v>
      </c>
      <c r="H401" s="275">
        <f>$H$97</f>
        <v>3</v>
      </c>
      <c r="I401" s="275">
        <f>$I$97</f>
        <v>4</v>
      </c>
      <c r="J401" s="275">
        <f>$J$97</f>
        <v>5</v>
      </c>
      <c r="K401" s="275">
        <f>$K$97</f>
        <v>6</v>
      </c>
      <c r="L401" s="275">
        <f>$L$97</f>
        <v>7</v>
      </c>
      <c r="M401" s="275">
        <f>$M$97</f>
        <v>8</v>
      </c>
      <c r="N401" s="275">
        <f>$N$97</f>
        <v>9</v>
      </c>
      <c r="O401" s="275">
        <f>$O$97</f>
        <v>10</v>
      </c>
      <c r="P401" s="60" t="s">
        <v>227</v>
      </c>
      <c r="Q401" s="60" t="s">
        <v>228</v>
      </c>
      <c r="R401" s="60" t="s">
        <v>237</v>
      </c>
      <c r="S401" s="40"/>
      <c r="T401" s="40"/>
      <c r="U401" s="40"/>
      <c r="V401" s="273"/>
      <c r="W401" s="40"/>
      <c r="AE401" s="477"/>
      <c r="AF401" s="38"/>
      <c r="AG401" s="38"/>
      <c r="AH401" s="69"/>
      <c r="AI401" s="69"/>
      <c r="AJ401" s="69"/>
      <c r="AK401" s="683"/>
      <c r="AL401" s="683"/>
      <c r="AM401" s="683"/>
      <c r="AN401" s="683"/>
      <c r="AO401" s="683"/>
      <c r="AP401" s="683"/>
      <c r="AQ401" s="683"/>
      <c r="AR401" s="683"/>
    </row>
    <row r="402" spans="1:71" s="7" customFormat="1" ht="53" customHeight="1" thickTop="1" x14ac:dyDescent="0.2">
      <c r="A402" s="1606" t="str">
        <f>BIBLE!E216</f>
        <v>NC00</v>
      </c>
      <c r="B402" s="133" t="str">
        <f>IF(P46&lt;&gt;1,BIBLE!F216,"")</f>
        <v>Comment qualifieriez-vous la relation de l'enfant avec le nouveau ou nouvelle conjoint.e du coparent?</v>
      </c>
      <c r="C402" s="8" t="str">
        <f>BIBLE!O216</f>
        <v>Aucune (1) à Excellente (10)</v>
      </c>
      <c r="D402" s="557">
        <f>BIBLE!L216</f>
        <v>1</v>
      </c>
      <c r="E402" s="19"/>
      <c r="F402" s="19"/>
      <c r="G402" s="19"/>
      <c r="H402" s="19"/>
      <c r="I402" s="19"/>
      <c r="J402" s="19"/>
      <c r="K402" s="19"/>
      <c r="L402" s="19"/>
      <c r="M402" s="19"/>
      <c r="N402" s="19"/>
      <c r="O402" s="19"/>
      <c r="P402" s="1561">
        <f>'TEST_pour PROTOTYPE'!D361</f>
        <v>4</v>
      </c>
      <c r="Q402" s="6">
        <f>P402*D402</f>
        <v>4</v>
      </c>
      <c r="R402" s="498">
        <f>BIBLE!K216</f>
        <v>5</v>
      </c>
      <c r="S402" s="40"/>
      <c r="T402" s="272"/>
      <c r="U402" s="272"/>
      <c r="V402" s="6"/>
      <c r="W402" s="8"/>
      <c r="AE402" s="477"/>
      <c r="AF402" s="38"/>
      <c r="AG402" s="38"/>
      <c r="AH402" s="69"/>
      <c r="AI402" s="69"/>
      <c r="AJ402" s="69"/>
      <c r="AK402" s="683"/>
      <c r="AL402" s="683"/>
      <c r="AM402" s="683"/>
      <c r="AN402" s="683"/>
      <c r="AO402" s="683"/>
      <c r="AP402" s="683"/>
      <c r="AQ402" s="683"/>
      <c r="AR402" s="683"/>
    </row>
    <row r="403" spans="1:71" s="7" customFormat="1" ht="35" customHeight="1" thickBot="1" x14ac:dyDescent="0.25">
      <c r="A403" s="528"/>
      <c r="B403" s="25"/>
      <c r="C403" s="8"/>
      <c r="D403" s="557" t="s">
        <v>239</v>
      </c>
      <c r="E403" s="472">
        <f>$E$52</f>
        <v>0</v>
      </c>
      <c r="F403" s="275">
        <f>$F$52</f>
        <v>0</v>
      </c>
      <c r="G403" s="275">
        <f>$G$52</f>
        <v>1</v>
      </c>
      <c r="H403" s="275">
        <v>2</v>
      </c>
      <c r="I403" s="275">
        <v>4</v>
      </c>
      <c r="J403" s="275">
        <v>7</v>
      </c>
      <c r="K403" s="275">
        <v>10</v>
      </c>
      <c r="N403" s="40"/>
      <c r="O403" s="40"/>
      <c r="P403" s="60" t="s">
        <v>227</v>
      </c>
      <c r="Q403" s="60" t="s">
        <v>228</v>
      </c>
      <c r="R403" s="60" t="s">
        <v>237</v>
      </c>
      <c r="S403" s="40"/>
      <c r="T403" s="272"/>
      <c r="U403" s="272"/>
      <c r="V403" s="6"/>
      <c r="W403" s="8"/>
      <c r="X403" s="6"/>
      <c r="Y403" s="6"/>
      <c r="Z403" s="6"/>
      <c r="AA403" s="6"/>
      <c r="AB403" s="6"/>
      <c r="AC403" s="6"/>
      <c r="AF403" s="38"/>
      <c r="AG403" s="38"/>
    </row>
    <row r="404" spans="1:71" s="7" customFormat="1" ht="75" customHeight="1" thickTop="1" x14ac:dyDescent="0.2">
      <c r="A404" s="1606" t="str">
        <f>BIBLE!E217</f>
        <v>NC01</v>
      </c>
      <c r="B404" s="133" t="str">
        <f>IF(AND(P46&lt;&gt;1,P402&gt;=R402),BIBLE!F217,"")</f>
        <v/>
      </c>
      <c r="C404" s="463" t="str">
        <f>BIBLE!O217</f>
        <v>Nulle / Très faible / Faible / Moyenne / Élevée / Très élevée / S.O.</v>
      </c>
      <c r="D404" s="1290">
        <f>IF(P404&lt;=2,BIBLE!M217,BIBLE!L217)</f>
        <v>0</v>
      </c>
      <c r="E404" s="19"/>
      <c r="F404" s="19"/>
      <c r="G404" s="19"/>
      <c r="H404" s="19"/>
      <c r="I404" s="19">
        <v>1</v>
      </c>
      <c r="J404" s="19"/>
      <c r="K404" s="19"/>
      <c r="L404" s="19"/>
      <c r="M404" s="19"/>
      <c r="N404" s="19"/>
      <c r="O404" s="19"/>
      <c r="P404" s="1561">
        <f>'TEST_pour PROTOTYPE'!D362</f>
        <v>0</v>
      </c>
      <c r="Q404" s="24">
        <f>P404*D404</f>
        <v>0</v>
      </c>
      <c r="R404" s="498">
        <f>BIBLE!K217</f>
        <v>4</v>
      </c>
      <c r="S404" s="40"/>
      <c r="T404" s="272"/>
      <c r="U404" s="272"/>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477"/>
      <c r="AF404" s="38"/>
      <c r="AG404" s="38"/>
      <c r="AH404" s="22">
        <f>IF($Q404=$V404,$Q404*BIBLE!S217,$Q405*BIBLE!S218)</f>
        <v>0</v>
      </c>
      <c r="AI404" s="22">
        <f>IF($Q404=$V404,$Q404*BIBLE!T217,$Q405*BIBLE!T218)</f>
        <v>0</v>
      </c>
      <c r="AJ404" s="22">
        <f>IF($Q404=$V404,$Q404*BIBLE!U217,$Q405*BIBLE!U218)</f>
        <v>0</v>
      </c>
      <c r="AK404" s="1236">
        <f>IF($Q404=$V404,$Q404*BIBLE!W217,$Q405*BIBLE!W218)</f>
        <v>0</v>
      </c>
      <c r="AL404" s="1236">
        <f>IF($Q404=$V404,$Q404*BIBLE!X217,$Q405*BIBLE!X218)</f>
        <v>0</v>
      </c>
      <c r="AM404" s="1236">
        <f>IF($Q404=$V404,$Q404*BIBLE!Y217,$Q405*BIBLE!Y218)</f>
        <v>0</v>
      </c>
      <c r="AN404" s="1236">
        <f>IF($Q404=$V404,$Q404*BIBLE!Z217,$Q405*BIBLE!Z218)</f>
        <v>0</v>
      </c>
      <c r="AO404" s="1236">
        <f>IF($Q404=$V404,$Q404*BIBLE!AA217,$Q405*BIBLE!AA218)</f>
        <v>0</v>
      </c>
      <c r="AP404" s="1236">
        <f>IF($Q404=$V404,$Q404*BIBLE!AB217,$Q405*BIBLE!AB218)</f>
        <v>0</v>
      </c>
      <c r="AQ404" s="1236">
        <f>IF($Q404=$V404,$Q404*BIBLE!AC217,$Q405*BIBLE!AC218)</f>
        <v>0</v>
      </c>
      <c r="AR404" s="1236">
        <f>IF($Q404=$V404,$Q404*BIBLE!AD217,$Q405*BIBLE!AD218)</f>
        <v>0</v>
      </c>
    </row>
    <row r="405" spans="1:71" s="7" customFormat="1" ht="75" customHeight="1" x14ac:dyDescent="0.2">
      <c r="A405" s="1606" t="str">
        <f>BIBLE!E218</f>
        <v>NC01a</v>
      </c>
      <c r="B405" s="133" t="str">
        <f>IF(AND(P46&lt;&gt;1,P404&gt;=R404),BIBLE!F218,"")</f>
        <v/>
      </c>
      <c r="C405" s="463" t="str">
        <f>BIBLE!O218</f>
        <v>Totalement / Grandement / Moyennement / Un peu / Très peu / Pas du tout / S.O.</v>
      </c>
      <c r="D405" s="1290">
        <f>BIBLE!L218</f>
        <v>2</v>
      </c>
      <c r="E405" s="19"/>
      <c r="F405" s="19"/>
      <c r="G405" s="19"/>
      <c r="H405" s="19"/>
      <c r="I405" s="19"/>
      <c r="J405" s="19">
        <v>1</v>
      </c>
      <c r="K405" s="19"/>
      <c r="L405" s="19"/>
      <c r="M405" s="19"/>
      <c r="N405" s="19"/>
      <c r="O405" s="19"/>
      <c r="P405" s="1561">
        <f>'TEST_pour PROTOTYPE'!D363</f>
        <v>0</v>
      </c>
      <c r="Q405" s="24">
        <f t="shared" ref="Q405:Q425" si="157">P405*D405</f>
        <v>0</v>
      </c>
      <c r="R405" s="273"/>
      <c r="S405" s="40"/>
      <c r="T405" s="272"/>
      <c r="U405" s="272"/>
      <c r="V405" s="16"/>
      <c r="W405" s="272"/>
      <c r="X405" s="6"/>
      <c r="Y405" s="6"/>
      <c r="Z405" s="6"/>
      <c r="AA405" s="6"/>
      <c r="AB405" s="6"/>
      <c r="AC405" s="6"/>
      <c r="AE405" s="477"/>
      <c r="AF405" s="38"/>
      <c r="AG405" s="38"/>
      <c r="AH405" s="69"/>
      <c r="AI405" s="69"/>
      <c r="AJ405" s="69"/>
      <c r="AK405" s="683"/>
      <c r="AL405" s="683"/>
      <c r="AM405" s="683"/>
      <c r="AN405" s="683"/>
      <c r="AO405" s="683"/>
      <c r="AP405" s="683"/>
      <c r="AQ405" s="683"/>
      <c r="AR405" s="683"/>
    </row>
    <row r="406" spans="1:71" s="7" customFormat="1" ht="75" customHeight="1" x14ac:dyDescent="0.2">
      <c r="A406" s="1200" t="str">
        <f>BIBLE!E219</f>
        <v>NC02</v>
      </c>
      <c r="B406" s="133" t="str">
        <f>IF(AND(P46&lt;&gt;1,P59&gt;=3),BIBLE!F219,"")</f>
        <v>Le nouveau ou nouvelle conjoint·e laisse entendre à votre enfant qu’il ou elle n’est pas en sécurité avec vous.</v>
      </c>
      <c r="C406" s="463" t="str">
        <f>BIBLE!O219</f>
        <v>Nulle / Très faible / Faible / Moyenne / Élevée / Très élevée / S.O.</v>
      </c>
      <c r="D406" s="1290">
        <f>BIBLE!L219</f>
        <v>2</v>
      </c>
      <c r="E406" s="19"/>
      <c r="F406" s="19"/>
      <c r="G406" s="19"/>
      <c r="H406" s="19"/>
      <c r="I406" s="19"/>
      <c r="J406" s="19">
        <v>1</v>
      </c>
      <c r="K406" s="19"/>
      <c r="L406" s="19"/>
      <c r="M406" s="19"/>
      <c r="N406" s="19"/>
      <c r="O406" s="19"/>
      <c r="P406" s="1561">
        <f>'TEST_pour PROTOTYPE'!D364</f>
        <v>7</v>
      </c>
      <c r="Q406" s="24">
        <f>P406*D406</f>
        <v>14</v>
      </c>
      <c r="R406" s="273"/>
      <c r="S406" s="40"/>
      <c r="T406" s="40"/>
      <c r="U406" s="40"/>
      <c r="V406" s="6">
        <f t="shared" ref="V406:V426" si="158">Q406</f>
        <v>14</v>
      </c>
      <c r="W406" s="273"/>
      <c r="X406" s="6">
        <f t="shared" ref="X406:AC426" si="159">IF($Q406&gt;0,X$109*$D406,0)</f>
        <v>0</v>
      </c>
      <c r="Y406" s="6">
        <f t="shared" si="159"/>
        <v>2</v>
      </c>
      <c r="Z406" s="6">
        <f t="shared" si="159"/>
        <v>4</v>
      </c>
      <c r="AA406" s="6">
        <f t="shared" si="159"/>
        <v>8</v>
      </c>
      <c r="AB406" s="6">
        <f t="shared" si="159"/>
        <v>14</v>
      </c>
      <c r="AC406" s="6">
        <f t="shared" si="159"/>
        <v>20</v>
      </c>
      <c r="AE406" s="477"/>
      <c r="AF406" s="38"/>
      <c r="AG406" s="38"/>
      <c r="AH406" s="22">
        <f>$V406*BIBLE!S219</f>
        <v>7</v>
      </c>
      <c r="AI406" s="22">
        <f>$V406*BIBLE!T219</f>
        <v>0</v>
      </c>
      <c r="AJ406" s="22">
        <f>$V406*BIBLE!U219</f>
        <v>7</v>
      </c>
      <c r="AK406" s="1236">
        <f>$V406*BIBLE!W219</f>
        <v>0</v>
      </c>
      <c r="AL406" s="1236">
        <f>$V406*BIBLE!X219</f>
        <v>14</v>
      </c>
      <c r="AM406" s="1236">
        <f>$V406*BIBLE!Y219</f>
        <v>0</v>
      </c>
      <c r="AN406" s="1236">
        <f>$V406*BIBLE!Z219</f>
        <v>0</v>
      </c>
      <c r="AO406" s="1236">
        <f>$V406*BIBLE!AA219</f>
        <v>0</v>
      </c>
      <c r="AP406" s="1236">
        <f>$V406*BIBLE!AB219</f>
        <v>0</v>
      </c>
      <c r="AQ406" s="1236">
        <f>$V406*BIBLE!AC219</f>
        <v>0</v>
      </c>
      <c r="AR406" s="1236">
        <f>$V406*BIBLE!AD219</f>
        <v>0</v>
      </c>
    </row>
    <row r="407" spans="1:71" s="7" customFormat="1" ht="75" customHeight="1" x14ac:dyDescent="0.2">
      <c r="A407" s="1200" t="str">
        <f>BIBLE!E220</f>
        <v>NC03</v>
      </c>
      <c r="B407" s="133" t="str">
        <f>IF(P46&lt;&gt;1,BIBLE!F220,"")</f>
        <v>Le nouveau ou nouvelle conjoint·e vous salue lors de changements de garde, à l'école ou lors d'événements culturels ou sportifs.</v>
      </c>
      <c r="C407" s="463" t="str">
        <f>BIBLE!O220</f>
        <v>Toujours / Souvent / Régulièrement / Occasionnellement / Rarement / Jamais / S.O.</v>
      </c>
      <c r="D407" s="1290">
        <f>BIBLE!L220</f>
        <v>1</v>
      </c>
      <c r="E407" s="19"/>
      <c r="F407" s="19"/>
      <c r="G407" s="19"/>
      <c r="H407" s="19"/>
      <c r="I407" s="19"/>
      <c r="J407" s="19">
        <v>1</v>
      </c>
      <c r="K407" s="19"/>
      <c r="L407" s="19"/>
      <c r="M407" s="19"/>
      <c r="N407" s="19"/>
      <c r="O407" s="19"/>
      <c r="P407" s="1561">
        <f>'TEST_pour PROTOTYPE'!D365</f>
        <v>7</v>
      </c>
      <c r="Q407" s="24">
        <f>P407*D407</f>
        <v>7</v>
      </c>
      <c r="R407" s="94"/>
      <c r="S407" s="457"/>
      <c r="T407" s="457"/>
      <c r="U407" s="457"/>
      <c r="V407" s="6">
        <f t="shared" si="158"/>
        <v>7</v>
      </c>
      <c r="W407" s="273"/>
      <c r="X407" s="6">
        <f t="shared" si="159"/>
        <v>0</v>
      </c>
      <c r="Y407" s="6">
        <f t="shared" si="159"/>
        <v>1</v>
      </c>
      <c r="Z407" s="6">
        <f t="shared" si="159"/>
        <v>2</v>
      </c>
      <c r="AA407" s="6">
        <f t="shared" si="159"/>
        <v>4</v>
      </c>
      <c r="AB407" s="6">
        <f t="shared" si="159"/>
        <v>7</v>
      </c>
      <c r="AC407" s="6">
        <f t="shared" si="159"/>
        <v>10</v>
      </c>
      <c r="AE407" s="477"/>
      <c r="AF407" s="38"/>
      <c r="AG407" s="38"/>
      <c r="AH407" s="22">
        <f>$V407*BIBLE!S220</f>
        <v>7</v>
      </c>
      <c r="AI407" s="22">
        <f>$V407*BIBLE!T220</f>
        <v>0</v>
      </c>
      <c r="AJ407" s="22">
        <f>$V407*BIBLE!U220</f>
        <v>0</v>
      </c>
      <c r="AK407" s="1236">
        <f>$V407*BIBLE!W220</f>
        <v>0</v>
      </c>
      <c r="AL407" s="1236">
        <f>$V407*BIBLE!X220</f>
        <v>0</v>
      </c>
      <c r="AM407" s="1236">
        <f>$V407*BIBLE!Y220</f>
        <v>7</v>
      </c>
      <c r="AN407" s="1236">
        <f>$V407*BIBLE!Z220</f>
        <v>0</v>
      </c>
      <c r="AO407" s="1236">
        <f>$V407*BIBLE!AA220</f>
        <v>0</v>
      </c>
      <c r="AP407" s="1236">
        <f>$V407*BIBLE!AB220</f>
        <v>0</v>
      </c>
      <c r="AQ407" s="1236">
        <f>$V407*BIBLE!AC220</f>
        <v>0</v>
      </c>
      <c r="AR407" s="1236">
        <f>$V407*BIBLE!AD220</f>
        <v>0</v>
      </c>
    </row>
    <row r="408" spans="1:71" s="7" customFormat="1" ht="23" customHeight="1" x14ac:dyDescent="0.2">
      <c r="A408" s="1200" t="str">
        <f>BIBLE!E221</f>
        <v>NC04</v>
      </c>
      <c r="B408" s="2519" t="str">
        <f>IF(P46&lt;&gt;1,BIBLE!F221,"")</f>
        <v>Comment qualifieriez-vous votre relation avec le nouveau ou nouvelle conjoint·e de l'autre parent ?</v>
      </c>
      <c r="C408" s="69"/>
      <c r="D408" s="68"/>
      <c r="E408" s="19"/>
      <c r="F408" s="19"/>
      <c r="G408" s="19"/>
      <c r="H408" s="19"/>
      <c r="I408" s="19"/>
      <c r="J408" s="19"/>
      <c r="K408" s="19"/>
      <c r="L408" s="19"/>
      <c r="M408" s="19"/>
      <c r="N408" s="19"/>
      <c r="O408" s="19"/>
      <c r="P408" s="1561">
        <f>'TEST_pour PROTOTYPE'!D366</f>
        <v>4</v>
      </c>
      <c r="Q408" s="24"/>
      <c r="R408" s="94"/>
      <c r="S408" s="457"/>
      <c r="T408" s="457"/>
      <c r="U408" s="457"/>
      <c r="V408" s="6">
        <f>BL414</f>
        <v>12</v>
      </c>
      <c r="W408" s="273"/>
      <c r="X408" s="6">
        <f t="shared" ref="X408:AC408" si="160">BN414</f>
        <v>0</v>
      </c>
      <c r="Y408" s="6">
        <f t="shared" si="160"/>
        <v>3</v>
      </c>
      <c r="Z408" s="6">
        <f t="shared" si="160"/>
        <v>6</v>
      </c>
      <c r="AA408" s="6">
        <f t="shared" si="160"/>
        <v>12</v>
      </c>
      <c r="AB408" s="6">
        <f t="shared" si="160"/>
        <v>21</v>
      </c>
      <c r="AC408" s="6">
        <f t="shared" si="160"/>
        <v>30</v>
      </c>
      <c r="AE408" s="477"/>
      <c r="AF408" s="38"/>
      <c r="AG408" s="38"/>
      <c r="AH408" s="22">
        <f>$V408*BIBLE!S221</f>
        <v>0</v>
      </c>
      <c r="AI408" s="22">
        <f>$V408*BIBLE!T221</f>
        <v>0</v>
      </c>
      <c r="AJ408" s="22">
        <f>$V408*BIBLE!U221</f>
        <v>12</v>
      </c>
      <c r="AK408" s="1236">
        <f>$V408*BIBLE!W221</f>
        <v>0</v>
      </c>
      <c r="AL408" s="1236">
        <f>$V408*BIBLE!X221</f>
        <v>0</v>
      </c>
      <c r="AM408" s="1236">
        <f>$V408*BIBLE!Y221</f>
        <v>0</v>
      </c>
      <c r="AN408" s="1236">
        <f>$V408*BIBLE!Z221</f>
        <v>12</v>
      </c>
      <c r="AO408" s="1236">
        <f>$V408*BIBLE!AA221</f>
        <v>0</v>
      </c>
      <c r="AP408" s="1236">
        <f>$V408*BIBLE!AB221</f>
        <v>0</v>
      </c>
      <c r="AQ408" s="1236">
        <f>$V408*BIBLE!AC221</f>
        <v>0</v>
      </c>
      <c r="AR408" s="1236">
        <f>$V408*BIBLE!AD221</f>
        <v>0</v>
      </c>
    </row>
    <row r="409" spans="1:71" s="7" customFormat="1" ht="24" customHeight="1" x14ac:dyDescent="0.2">
      <c r="A409" s="1200"/>
      <c r="B409" s="2520"/>
      <c r="C409" s="850" t="s">
        <v>1109</v>
      </c>
      <c r="D409" s="1655">
        <v>1</v>
      </c>
      <c r="E409" s="37" t="str">
        <f>IF(P$408=D409,1,"x")</f>
        <v>x</v>
      </c>
      <c r="F409" s="19"/>
      <c r="G409" s="19"/>
      <c r="H409" s="19"/>
      <c r="I409" s="19"/>
      <c r="J409" s="19"/>
      <c r="K409" s="19"/>
      <c r="L409" s="19"/>
      <c r="M409" s="19"/>
      <c r="N409" s="19"/>
      <c r="O409" s="19"/>
      <c r="P409" s="1471"/>
      <c r="Q409" s="24"/>
      <c r="R409" s="94"/>
      <c r="S409" s="457"/>
      <c r="T409" s="457"/>
      <c r="U409" s="457"/>
      <c r="V409" s="6"/>
      <c r="W409" s="273"/>
      <c r="X409" s="6"/>
      <c r="Y409" s="6"/>
      <c r="Z409" s="6"/>
      <c r="AA409" s="6"/>
      <c r="AB409" s="6"/>
      <c r="AC409" s="6"/>
      <c r="AE409" s="477"/>
      <c r="AF409" s="38"/>
      <c r="AG409" s="38"/>
      <c r="AH409" s="22"/>
      <c r="AI409" s="22"/>
      <c r="AJ409" s="22"/>
      <c r="AK409" s="1236"/>
      <c r="AL409" s="1236"/>
      <c r="AM409" s="1236"/>
      <c r="AN409" s="1236"/>
      <c r="AO409" s="1236"/>
      <c r="AP409" s="1236"/>
      <c r="AQ409" s="1236"/>
      <c r="AR409" s="1236"/>
    </row>
    <row r="410" spans="1:71" s="7" customFormat="1" ht="24" customHeight="1" x14ac:dyDescent="0.2">
      <c r="A410" s="1200"/>
      <c r="B410" s="133"/>
      <c r="C410" s="850" t="s">
        <v>1110</v>
      </c>
      <c r="D410" s="1655">
        <v>2</v>
      </c>
      <c r="E410" s="37" t="str">
        <f t="shared" ref="E410:E413" si="161">IF(P$408=D410,1,"x")</f>
        <v>x</v>
      </c>
      <c r="F410" s="19"/>
      <c r="G410" s="19"/>
      <c r="H410" s="19"/>
      <c r="I410" s="19"/>
      <c r="J410" s="19"/>
      <c r="K410" s="19"/>
      <c r="L410" s="19"/>
      <c r="M410" s="19"/>
      <c r="N410" s="19"/>
      <c r="O410" s="19"/>
      <c r="P410" s="1471"/>
      <c r="Q410" s="24"/>
      <c r="R410" s="94"/>
      <c r="S410" s="457"/>
      <c r="T410" s="457"/>
      <c r="U410" s="457"/>
      <c r="V410" s="6"/>
      <c r="W410" s="273"/>
      <c r="X410" s="6"/>
      <c r="Y410" s="6"/>
      <c r="Z410" s="6"/>
      <c r="AA410" s="6"/>
      <c r="AB410" s="6"/>
      <c r="AC410" s="6"/>
      <c r="AE410" s="477"/>
      <c r="AF410" s="38"/>
      <c r="AG410" s="38"/>
      <c r="AH410" s="22"/>
      <c r="AI410" s="22"/>
      <c r="AJ410" s="22"/>
      <c r="AK410" s="1236"/>
      <c r="AL410" s="1236"/>
      <c r="AM410" s="1236"/>
      <c r="AN410" s="1236"/>
      <c r="AO410" s="1236"/>
      <c r="AP410" s="1236"/>
      <c r="AQ410" s="1236"/>
      <c r="AR410" s="1236"/>
    </row>
    <row r="411" spans="1:71" s="7" customFormat="1" ht="24" customHeight="1" x14ac:dyDescent="0.2">
      <c r="A411" s="1200"/>
      <c r="B411" s="133"/>
      <c r="C411" s="850" t="s">
        <v>255</v>
      </c>
      <c r="D411" s="1655">
        <v>3</v>
      </c>
      <c r="E411" s="37" t="str">
        <f t="shared" si="161"/>
        <v>x</v>
      </c>
      <c r="F411" s="19"/>
      <c r="G411" s="19"/>
      <c r="H411" s="19"/>
      <c r="I411" s="19"/>
      <c r="J411" s="19"/>
      <c r="K411" s="19"/>
      <c r="L411" s="19"/>
      <c r="M411" s="19"/>
      <c r="N411" s="19"/>
      <c r="O411" s="19"/>
      <c r="P411" s="1471"/>
      <c r="Q411" s="24"/>
      <c r="R411" s="94"/>
      <c r="S411" s="457"/>
      <c r="T411" s="457"/>
      <c r="U411" s="457"/>
      <c r="V411" s="6"/>
      <c r="W411" s="273"/>
      <c r="X411" s="6"/>
      <c r="Y411" s="6"/>
      <c r="Z411" s="6"/>
      <c r="AA411" s="6"/>
      <c r="AB411" s="6"/>
      <c r="AC411" s="6"/>
      <c r="AE411" s="477"/>
      <c r="AF411" s="38"/>
      <c r="AG411" s="38"/>
      <c r="AH411" s="22"/>
      <c r="AI411" s="22"/>
      <c r="AJ411" s="22"/>
      <c r="AK411" s="1236"/>
      <c r="AL411" s="1236"/>
      <c r="AM411" s="1236"/>
      <c r="AN411" s="1236"/>
      <c r="AO411" s="1236"/>
      <c r="AP411" s="1236"/>
      <c r="AQ411" s="1236"/>
      <c r="AR411" s="1236"/>
    </row>
    <row r="412" spans="1:71" s="7" customFormat="1" ht="24" customHeight="1" x14ac:dyDescent="0.2">
      <c r="A412" s="1200"/>
      <c r="B412" s="133"/>
      <c r="C412" s="850" t="s">
        <v>1111</v>
      </c>
      <c r="D412" s="1655">
        <v>4</v>
      </c>
      <c r="E412" s="37">
        <f t="shared" si="161"/>
        <v>1</v>
      </c>
      <c r="F412" s="19"/>
      <c r="G412" s="19"/>
      <c r="H412" s="19"/>
      <c r="I412" s="19"/>
      <c r="J412" s="19"/>
      <c r="K412" s="19"/>
      <c r="L412" s="19"/>
      <c r="M412" s="19"/>
      <c r="N412" s="19"/>
      <c r="O412" s="19"/>
      <c r="P412" s="1471"/>
      <c r="Q412" s="24"/>
      <c r="R412" s="94"/>
      <c r="S412" s="457"/>
      <c r="T412" s="457"/>
      <c r="U412" s="457"/>
      <c r="V412" s="6"/>
      <c r="W412" s="273"/>
      <c r="X412" s="6"/>
      <c r="Y412" s="6"/>
      <c r="Z412" s="6"/>
      <c r="AA412" s="6"/>
      <c r="AB412" s="6"/>
      <c r="AC412" s="6"/>
      <c r="AE412" s="477"/>
      <c r="AF412" s="38"/>
      <c r="AG412" s="38"/>
      <c r="AH412" s="22"/>
      <c r="AI412" s="22"/>
      <c r="AJ412" s="22"/>
      <c r="AK412" s="1236"/>
      <c r="AL412" s="1236"/>
      <c r="AM412" s="1236"/>
      <c r="AN412" s="1236"/>
      <c r="AO412" s="1236"/>
      <c r="AP412" s="1236"/>
      <c r="AQ412" s="1236"/>
      <c r="AR412" s="1236"/>
    </row>
    <row r="413" spans="1:71" s="7" customFormat="1" ht="24" customHeight="1" x14ac:dyDescent="0.2">
      <c r="A413" s="1200"/>
      <c r="B413" s="133"/>
      <c r="C413" s="850" t="s">
        <v>1112</v>
      </c>
      <c r="D413" s="1655">
        <v>5</v>
      </c>
      <c r="E413" s="37" t="str">
        <f t="shared" si="161"/>
        <v>x</v>
      </c>
      <c r="F413" s="19"/>
      <c r="G413" s="19"/>
      <c r="H413" s="19"/>
      <c r="I413" s="19"/>
      <c r="J413" s="19"/>
      <c r="K413" s="19"/>
      <c r="L413" s="19"/>
      <c r="M413" s="19"/>
      <c r="N413" s="19"/>
      <c r="O413" s="19"/>
      <c r="P413" s="1471"/>
      <c r="Q413" s="24"/>
      <c r="R413" s="94"/>
      <c r="S413" s="457"/>
      <c r="T413" s="457"/>
      <c r="U413" s="457"/>
      <c r="V413" s="6"/>
      <c r="W413" s="273"/>
      <c r="X413" s="6"/>
      <c r="Y413" s="6"/>
      <c r="Z413" s="6"/>
      <c r="AA413" s="6"/>
      <c r="AB413" s="6"/>
      <c r="AC413" s="6"/>
      <c r="AE413" s="477"/>
      <c r="AF413" s="38"/>
      <c r="AG413" s="38"/>
      <c r="AH413" s="22"/>
      <c r="AI413" s="22"/>
      <c r="AJ413" s="22"/>
      <c r="AK413" s="1236"/>
      <c r="AL413" s="1236"/>
      <c r="AM413" s="1236"/>
      <c r="AN413" s="1236"/>
      <c r="AO413" s="1236"/>
      <c r="AP413" s="1236"/>
      <c r="AQ413" s="1236"/>
      <c r="AR413" s="1236"/>
      <c r="BB413" s="17" t="s">
        <v>1164</v>
      </c>
      <c r="BL413" s="17" t="s">
        <v>1165</v>
      </c>
    </row>
    <row r="414" spans="1:71" s="7" customFormat="1" ht="44" customHeight="1" x14ac:dyDescent="0.2">
      <c r="A414" s="1200" t="str">
        <f>BIBLE!E222</f>
        <v>NC04a</v>
      </c>
      <c r="B414" s="133" t="str">
        <f>IF(P408&gt;=3,BIBLE!F222,"")</f>
        <v>Le nouveau ou nouvelle conjoint·e dénigre vos compétences parentales par texto, courriel ou autres?</v>
      </c>
      <c r="C414" s="463" t="str">
        <f>BIBLE!O223</f>
        <v xml:space="preserve">Jamais / Rarement / Occasionnellement / Régulièrement / Souvent / Toujours / S.O. </v>
      </c>
      <c r="D414" s="1290">
        <f>BIBLE!L223</f>
        <v>3</v>
      </c>
      <c r="E414" s="19"/>
      <c r="F414" s="19"/>
      <c r="G414" s="19"/>
      <c r="H414" s="19"/>
      <c r="I414" s="19">
        <v>1</v>
      </c>
      <c r="J414" s="19"/>
      <c r="K414" s="19"/>
      <c r="L414" s="19"/>
      <c r="M414" s="19"/>
      <c r="N414" s="19"/>
      <c r="O414" s="19"/>
      <c r="P414" s="1561">
        <f>'TEST_pour PROTOTYPE'!D367</f>
        <v>4</v>
      </c>
      <c r="Q414" s="24">
        <f>P414*D414</f>
        <v>12</v>
      </c>
      <c r="R414" s="273">
        <f>BIBLE!K222</f>
        <v>2</v>
      </c>
      <c r="S414" s="40"/>
      <c r="T414" s="40"/>
      <c r="U414" s="40"/>
      <c r="V414" s="6"/>
      <c r="W414" s="273"/>
      <c r="X414" s="6"/>
      <c r="Y414" s="6"/>
      <c r="Z414" s="6"/>
      <c r="AA414" s="6"/>
      <c r="AB414" s="6"/>
      <c r="AC414" s="6"/>
      <c r="AE414" s="477"/>
      <c r="AF414" s="38"/>
      <c r="AG414" s="38"/>
      <c r="AH414" s="22"/>
      <c r="AI414" s="22"/>
      <c r="AJ414" s="22"/>
      <c r="AK414" s="1236"/>
      <c r="AL414" s="1236"/>
      <c r="AM414" s="1236"/>
      <c r="AN414" s="1236"/>
      <c r="AO414" s="1236"/>
      <c r="AP414" s="1236"/>
      <c r="AQ414" s="1236"/>
      <c r="AR414" s="1236"/>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25">
        <f>MAX(AS414:AS415)</f>
        <v>12</v>
      </c>
      <c r="BD414" s="525">
        <f t="shared" ref="BD414:BI414" si="167">MAX(AU414:AU415)</f>
        <v>0</v>
      </c>
      <c r="BE414" s="525">
        <f t="shared" si="167"/>
        <v>3</v>
      </c>
      <c r="BF414" s="525">
        <f t="shared" si="167"/>
        <v>6</v>
      </c>
      <c r="BG414" s="525">
        <f t="shared" si="167"/>
        <v>12</v>
      </c>
      <c r="BH414" s="525">
        <f t="shared" si="167"/>
        <v>21</v>
      </c>
      <c r="BI414" s="525">
        <f t="shared" si="167"/>
        <v>30</v>
      </c>
      <c r="BL414" s="525">
        <f>BB414+AS416</f>
        <v>12</v>
      </c>
      <c r="BN414" s="525">
        <f t="shared" ref="BN414:BS414" si="168">BD414+AU416</f>
        <v>0</v>
      </c>
      <c r="BO414" s="525">
        <f t="shared" si="168"/>
        <v>3</v>
      </c>
      <c r="BP414" s="525">
        <f t="shared" si="168"/>
        <v>6</v>
      </c>
      <c r="BQ414" s="525">
        <f t="shared" si="168"/>
        <v>12</v>
      </c>
      <c r="BR414" s="525">
        <f t="shared" si="168"/>
        <v>21</v>
      </c>
      <c r="BS414" s="525">
        <f t="shared" si="168"/>
        <v>30</v>
      </c>
    </row>
    <row r="415" spans="1:71" s="7" customFormat="1" ht="44" customHeight="1" x14ac:dyDescent="0.2">
      <c r="A415" s="1200" t="str">
        <f>BIBLE!E223</f>
        <v>NC04a1</v>
      </c>
      <c r="B415" s="133" t="str">
        <f>IF(P414&gt;=R414,BIBLE!F223,"")</f>
        <v>Arrive-t-il que le nouveau ou nouvelle conjoint·e vous critique ou dénigre vos compétences parentales devant votre enfant ?</v>
      </c>
      <c r="C415" s="463" t="str">
        <f>BIBLE!O222</f>
        <v xml:space="preserve">Jamais / Rarement / Occasionnellement / Régulièrement / Souvent / Toujours / S.O. </v>
      </c>
      <c r="D415" s="1290">
        <f>BIBLE!L222</f>
        <v>3</v>
      </c>
      <c r="E415" s="19"/>
      <c r="F415" s="19"/>
      <c r="G415" s="19">
        <v>1</v>
      </c>
      <c r="H415" s="19"/>
      <c r="I415" s="19"/>
      <c r="J415" s="19"/>
      <c r="K415" s="19"/>
      <c r="L415" s="19"/>
      <c r="M415" s="19"/>
      <c r="N415" s="19"/>
      <c r="O415" s="19"/>
      <c r="P415" s="1561">
        <f>'TEST_pour PROTOTYPE'!D368</f>
        <v>1</v>
      </c>
      <c r="Q415" s="24">
        <f>P415*D415</f>
        <v>3</v>
      </c>
      <c r="R415" s="273"/>
      <c r="S415" s="40"/>
      <c r="T415" s="40"/>
      <c r="U415" s="40"/>
      <c r="V415" s="6"/>
      <c r="W415" s="273"/>
      <c r="X415" s="6"/>
      <c r="Y415" s="6"/>
      <c r="Z415" s="6"/>
      <c r="AA415" s="6"/>
      <c r="AB415" s="6"/>
      <c r="AC415" s="6"/>
      <c r="AE415" s="477"/>
      <c r="AF415" s="38"/>
      <c r="AG415" s="38"/>
      <c r="AH415" s="22"/>
      <c r="AI415" s="22"/>
      <c r="AJ415" s="22"/>
      <c r="AK415" s="1236"/>
      <c r="AL415" s="1236"/>
      <c r="AM415" s="1236"/>
      <c r="AN415" s="1236"/>
      <c r="AO415" s="1236"/>
      <c r="AP415" s="1236"/>
      <c r="AQ415" s="1236"/>
      <c r="AR415" s="1236"/>
      <c r="AS415" s="6">
        <f t="shared" ref="AS415:AS416" si="169">Q415</f>
        <v>3</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25"/>
      <c r="BD415" s="525"/>
      <c r="BE415" s="525"/>
      <c r="BF415" s="525"/>
      <c r="BG415" s="525"/>
      <c r="BH415" s="525"/>
      <c r="BI415" s="525"/>
    </row>
    <row r="416" spans="1:71" s="7" customFormat="1" ht="53" customHeight="1" x14ac:dyDescent="0.2">
      <c r="A416" s="1200" t="str">
        <f>BIBLE!E224</f>
        <v>NC04b</v>
      </c>
      <c r="B416" s="133" t="str">
        <f>IF(AND(P42&lt;&gt;1,P408&gt;=3),BIBLE!F224,"")</f>
        <v/>
      </c>
      <c r="C416" s="463" t="str">
        <f>BIBLE!O224</f>
        <v xml:space="preserve">Jamais / Rarement / Occasionnellement / Régulièrement / Souvent / Toujours / S.O. </v>
      </c>
      <c r="D416" s="1290">
        <f>BIBLE!L224</f>
        <v>3</v>
      </c>
      <c r="E416" s="19"/>
      <c r="F416" s="19"/>
      <c r="G416" s="19"/>
      <c r="H416" s="19"/>
      <c r="I416" s="19"/>
      <c r="J416" s="19"/>
      <c r="K416" s="19"/>
      <c r="L416" s="19"/>
      <c r="M416" s="19"/>
      <c r="N416" s="19"/>
      <c r="O416" s="19"/>
      <c r="P416" s="1561">
        <f>'TEST_pour PROTOTYPE'!D369</f>
        <v>0</v>
      </c>
      <c r="Q416" s="24">
        <f t="shared" si="157"/>
        <v>0</v>
      </c>
      <c r="R416" s="273"/>
      <c r="S416" s="40"/>
      <c r="T416" s="40"/>
      <c r="U416" s="40"/>
      <c r="V416" s="6"/>
      <c r="W416" s="273"/>
      <c r="X416" s="6"/>
      <c r="Y416" s="6"/>
      <c r="Z416" s="6"/>
      <c r="AA416" s="6"/>
      <c r="AB416" s="6"/>
      <c r="AC416" s="6"/>
      <c r="AE416" s="477"/>
      <c r="AF416" s="38"/>
      <c r="AG416" s="38"/>
      <c r="AH416" s="22"/>
      <c r="AI416" s="22"/>
      <c r="AJ416" s="22"/>
      <c r="AK416" s="1236"/>
      <c r="AL416" s="1236"/>
      <c r="AM416" s="1236"/>
      <c r="AN416" s="1236"/>
      <c r="AO416" s="1236"/>
      <c r="AP416" s="1236"/>
      <c r="AQ416" s="1236"/>
      <c r="AR416" s="1236"/>
      <c r="AS416" s="6">
        <f t="shared" si="169"/>
        <v>0</v>
      </c>
      <c r="AT416" s="16"/>
      <c r="AU416" s="6">
        <f t="shared" si="170"/>
        <v>0</v>
      </c>
      <c r="AV416" s="6">
        <f t="shared" si="171"/>
        <v>0</v>
      </c>
      <c r="AW416" s="6">
        <f t="shared" si="172"/>
        <v>0</v>
      </c>
      <c r="AX416" s="6">
        <f t="shared" si="173"/>
        <v>0</v>
      </c>
      <c r="AY416" s="6">
        <f t="shared" si="174"/>
        <v>0</v>
      </c>
      <c r="AZ416" s="6">
        <f t="shared" si="175"/>
        <v>0</v>
      </c>
    </row>
    <row r="417" spans="1:44" s="7" customFormat="1" ht="75" customHeight="1" x14ac:dyDescent="0.2">
      <c r="A417" s="1200" t="str">
        <f>BIBLE!E225</f>
        <v>NC07</v>
      </c>
      <c r="B417" s="133" t="str">
        <f>IF(P46&lt;&gt;1,BIBLE!F225,"")</f>
        <v xml:space="preserve">Le nouveau ou nouvelle conjoint·e apporte des changements à l’horaire de garde sans vous consulter au préalable ou sans votre autorisation. </v>
      </c>
      <c r="C417" s="463" t="str">
        <f>BIBLE!O225</f>
        <v xml:space="preserve">Jamais / Rarement / Occasionnellement / Régulièrement / Souvent / Toujours / S.O. </v>
      </c>
      <c r="D417" s="1290">
        <f>BIBLE!L225</f>
        <v>2</v>
      </c>
      <c r="E417" s="19"/>
      <c r="F417" s="19"/>
      <c r="G417" s="19"/>
      <c r="H417" s="19"/>
      <c r="I417" s="19">
        <v>1</v>
      </c>
      <c r="J417" s="19"/>
      <c r="K417" s="19"/>
      <c r="L417" s="19"/>
      <c r="M417" s="19"/>
      <c r="N417" s="19"/>
      <c r="O417" s="19"/>
      <c r="P417" s="1561">
        <f>'TEST_pour PROTOTYPE'!D370</f>
        <v>4</v>
      </c>
      <c r="Q417" s="24">
        <f t="shared" si="157"/>
        <v>8</v>
      </c>
      <c r="R417" s="8">
        <f>BIBLE!K225</f>
        <v>4</v>
      </c>
      <c r="S417" s="41"/>
      <c r="T417" s="41"/>
      <c r="U417" s="41"/>
      <c r="V417" s="6">
        <f>IF(P417&gt;=R417,IF(Q417&gt;Q418,Q417,Q418),Q417)</f>
        <v>8</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477"/>
      <c r="AF417" s="38"/>
      <c r="AG417" s="38"/>
      <c r="AH417" s="22">
        <f>IF($Q417=$V417,$Q417*BIBLE!S275,$Q418*BIBLE!S276)</f>
        <v>0</v>
      </c>
      <c r="AI417" s="22">
        <f>IF($Q417=$V417,$Q417*BIBLE!T275,$Q418*BIBLE!T276)</f>
        <v>0</v>
      </c>
      <c r="AJ417" s="22">
        <f>IF($Q417=$V417,$Q417*BIBLE!U275,$Q418*BIBLE!U276)</f>
        <v>0</v>
      </c>
      <c r="AK417" s="1236">
        <f>IF($Q417=$V417,$Q417*BIBLE!W275,$Q418*BIBLE!W276)</f>
        <v>0</v>
      </c>
      <c r="AL417" s="1236">
        <f>IF($Q417=$V417,$Q417*BIBLE!X275,$Q418*BIBLE!X276)</f>
        <v>0</v>
      </c>
      <c r="AM417" s="1236">
        <f>IF($Q417=$V417,$Q417*BIBLE!Y275,$Q418*BIBLE!Y276)</f>
        <v>0</v>
      </c>
      <c r="AN417" s="1236">
        <f>IF($Q417=$V417,$Q417*BIBLE!Z275,$Q418*BIBLE!Z276)</f>
        <v>0</v>
      </c>
      <c r="AO417" s="1236">
        <f>IF($Q417=$V417,$Q417*BIBLE!AA275,$Q418*BIBLE!AA276)</f>
        <v>0</v>
      </c>
      <c r="AP417" s="1236">
        <f>IF($Q417=$V417,$Q417*BIBLE!AB275,$Q418*BIBLE!AB276)</f>
        <v>0</v>
      </c>
      <c r="AQ417" s="1236">
        <f>IF($Q417=$V417,$Q417*BIBLE!AC275,$Q418*BIBLE!AC276)</f>
        <v>0</v>
      </c>
      <c r="AR417" s="1236">
        <f>IF($Q417=$V417,$Q417*BIBLE!AD275,$Q418*BIBLE!AD276)</f>
        <v>0</v>
      </c>
    </row>
    <row r="418" spans="1:44" s="7" customFormat="1" ht="75" customHeight="1" x14ac:dyDescent="0.2">
      <c r="A418" s="1200" t="str">
        <f>BIBLE!E226</f>
        <v>NC07a</v>
      </c>
      <c r="B418" s="134" t="str">
        <f>IF(P417&gt;=R417,BIBLE!F226,"")</f>
        <v xml:space="preserve">Arrive-t-il que le nouveau ou nouvelle conjoint·e organise des activités sur votre temps de garde ? </v>
      </c>
      <c r="C418" s="463" t="str">
        <f>BIBLE!O226</f>
        <v xml:space="preserve">Jamais / Rarement / Occasionnellement / Régulièrement / Souvent / Toujours / S.O. </v>
      </c>
      <c r="D418" s="1290">
        <f>BIBLE!L226</f>
        <v>2</v>
      </c>
      <c r="E418" s="19"/>
      <c r="F418" s="19"/>
      <c r="G418" s="19"/>
      <c r="H418" s="19"/>
      <c r="I418" s="19">
        <v>1</v>
      </c>
      <c r="J418" s="19"/>
      <c r="K418" s="19"/>
      <c r="L418" s="19"/>
      <c r="M418" s="19"/>
      <c r="N418" s="19"/>
      <c r="O418" s="19"/>
      <c r="P418" s="1561">
        <f>'TEST_pour PROTOTYPE'!D371</f>
        <v>4</v>
      </c>
      <c r="Q418" s="24">
        <f>P418*D418</f>
        <v>8</v>
      </c>
      <c r="R418" s="8" t="str">
        <f>IF(BIBLE!K276=0,"",BIBLE!K276)</f>
        <v/>
      </c>
      <c r="S418" s="41"/>
      <c r="T418" s="41"/>
      <c r="U418" s="41"/>
      <c r="V418" s="6"/>
      <c r="W418" s="273"/>
      <c r="X418" s="6"/>
      <c r="Y418" s="6"/>
      <c r="Z418" s="6"/>
      <c r="AA418" s="6"/>
      <c r="AB418" s="6"/>
      <c r="AC418" s="6"/>
      <c r="AE418" s="477"/>
      <c r="AF418" s="38"/>
      <c r="AG418" s="38"/>
      <c r="AH418" s="69"/>
      <c r="AI418" s="69"/>
      <c r="AJ418" s="69"/>
      <c r="AK418" s="683"/>
      <c r="AL418" s="683"/>
      <c r="AM418" s="683"/>
      <c r="AN418" s="683"/>
      <c r="AO418" s="683"/>
      <c r="AP418" s="683"/>
      <c r="AQ418" s="683"/>
      <c r="AR418" s="683"/>
    </row>
    <row r="419" spans="1:44" s="7" customFormat="1" ht="75" customHeight="1" x14ac:dyDescent="0.2">
      <c r="A419" s="1200" t="str">
        <f>BIBLE!E227</f>
        <v>NC09</v>
      </c>
      <c r="B419" s="133" t="str">
        <f>IF(P46&lt;&gt;1,BIBLE!F227,"")</f>
        <v xml:space="preserve">Le nouveau ou nouvelle conjoint·e se présente à la sortie des classes, au service de garde ou à la garderie sur votre temps de garde. </v>
      </c>
      <c r="C419" s="463" t="str">
        <f>BIBLE!O227</f>
        <v xml:space="preserve">Jamais / Rarement / Occasionnellement / Régulièrement / Souvent / Toujours / S.O. </v>
      </c>
      <c r="D419" s="1290">
        <f>BIBLE!L227</f>
        <v>2</v>
      </c>
      <c r="E419" s="19"/>
      <c r="F419" s="19"/>
      <c r="G419" s="19"/>
      <c r="H419" s="19">
        <v>1</v>
      </c>
      <c r="I419" s="19"/>
      <c r="J419" s="19"/>
      <c r="K419" s="19"/>
      <c r="L419" s="19"/>
      <c r="M419" s="19"/>
      <c r="N419" s="19"/>
      <c r="O419" s="19"/>
      <c r="P419" s="1561">
        <f>'TEST_pour PROTOTYPE'!D372</f>
        <v>2</v>
      </c>
      <c r="Q419" s="24">
        <f t="shared" si="157"/>
        <v>4</v>
      </c>
      <c r="R419" s="273"/>
      <c r="S419" s="40"/>
      <c r="T419" s="40"/>
      <c r="U419" s="40"/>
      <c r="V419" s="6">
        <f t="shared" si="158"/>
        <v>4</v>
      </c>
      <c r="W419" s="273"/>
      <c r="X419" s="6">
        <f t="shared" si="159"/>
        <v>0</v>
      </c>
      <c r="Y419" s="6">
        <f t="shared" si="159"/>
        <v>2</v>
      </c>
      <c r="Z419" s="6">
        <f t="shared" si="159"/>
        <v>4</v>
      </c>
      <c r="AA419" s="6">
        <f t="shared" si="159"/>
        <v>8</v>
      </c>
      <c r="AB419" s="6">
        <f t="shared" si="159"/>
        <v>14</v>
      </c>
      <c r="AC419" s="6">
        <f t="shared" si="159"/>
        <v>20</v>
      </c>
      <c r="AE419" s="477"/>
      <c r="AF419" s="38"/>
      <c r="AG419" s="38"/>
      <c r="AH419" s="22">
        <f>$V419*BIBLE!S227</f>
        <v>4</v>
      </c>
      <c r="AI419" s="22">
        <f>$V419*BIBLE!T227</f>
        <v>0</v>
      </c>
      <c r="AJ419" s="22">
        <f>$V419*BIBLE!U227</f>
        <v>0</v>
      </c>
      <c r="AK419" s="1236">
        <f>$V419*BIBLE!W227</f>
        <v>0</v>
      </c>
      <c r="AL419" s="1236">
        <f>$V419*BIBLE!X227</f>
        <v>0</v>
      </c>
      <c r="AM419" s="1236">
        <f>$V419*BIBLE!Y227</f>
        <v>0</v>
      </c>
      <c r="AN419" s="1236">
        <f>$V419*BIBLE!Z227</f>
        <v>0</v>
      </c>
      <c r="AO419" s="1236">
        <f>$V419*BIBLE!AA227</f>
        <v>4</v>
      </c>
      <c r="AP419" s="1236">
        <f>$V419*BIBLE!AB227</f>
        <v>0</v>
      </c>
      <c r="AQ419" s="1236">
        <f>$V419*BIBLE!AC227</f>
        <v>0</v>
      </c>
      <c r="AR419" s="1236">
        <f>$V419*BIBLE!AD227</f>
        <v>0</v>
      </c>
    </row>
    <row r="420" spans="1:44" s="7" customFormat="1" ht="75" customHeight="1" x14ac:dyDescent="0.2">
      <c r="A420" s="1200" t="str">
        <f>BIBLE!E228</f>
        <v>NC10</v>
      </c>
      <c r="B420" s="133" t="str">
        <f>IF(P46&lt;&gt;1,BIBLE!F228,"")</f>
        <v>Arrive-t-il que le nouveau ou nouvelle conjoint·e interfère, écoute ou écourte vos conversations téléphoniques avec votre enfant ?</v>
      </c>
      <c r="C420" s="463" t="str">
        <f>BIBLE!O228</f>
        <v xml:space="preserve">Jamais / Rarement / Occasionnellement / Régulièrement / Souvent / Toujours / S.O. </v>
      </c>
      <c r="D420" s="1290">
        <f>BIBLE!L228</f>
        <v>2</v>
      </c>
      <c r="E420" s="19"/>
      <c r="F420" s="19"/>
      <c r="G420" s="19"/>
      <c r="H420" s="19"/>
      <c r="I420" s="19"/>
      <c r="J420" s="19">
        <v>1</v>
      </c>
      <c r="K420" s="19"/>
      <c r="L420" s="19"/>
      <c r="M420" s="19"/>
      <c r="N420" s="19"/>
      <c r="O420" s="19"/>
      <c r="P420" s="1561">
        <f>'TEST_pour PROTOTYPE'!D373</f>
        <v>7</v>
      </c>
      <c r="Q420" s="24">
        <f t="shared" si="157"/>
        <v>14</v>
      </c>
      <c r="R420" s="8"/>
      <c r="V420" s="6">
        <f t="shared" si="158"/>
        <v>14</v>
      </c>
      <c r="W420" s="273"/>
      <c r="X420" s="6">
        <f t="shared" si="159"/>
        <v>0</v>
      </c>
      <c r="Y420" s="6">
        <f t="shared" si="159"/>
        <v>2</v>
      </c>
      <c r="Z420" s="6">
        <f t="shared" si="159"/>
        <v>4</v>
      </c>
      <c r="AA420" s="6">
        <f t="shared" si="159"/>
        <v>8</v>
      </c>
      <c r="AB420" s="6">
        <f t="shared" si="159"/>
        <v>14</v>
      </c>
      <c r="AC420" s="6">
        <f t="shared" si="159"/>
        <v>20</v>
      </c>
      <c r="AE420" s="477"/>
      <c r="AF420" s="38"/>
      <c r="AG420" s="38"/>
      <c r="AH420" s="22">
        <f>$V420*BIBLE!S228</f>
        <v>14</v>
      </c>
      <c r="AI420" s="22">
        <f>$V420*BIBLE!T228</f>
        <v>0</v>
      </c>
      <c r="AJ420" s="22">
        <f>$V420*BIBLE!U228</f>
        <v>0</v>
      </c>
      <c r="AK420" s="1236">
        <f>$V420*BIBLE!W228</f>
        <v>0</v>
      </c>
      <c r="AL420" s="1236">
        <f>$V420*BIBLE!X228</f>
        <v>0</v>
      </c>
      <c r="AM420" s="1236">
        <f>$V420*BIBLE!Y228</f>
        <v>0</v>
      </c>
      <c r="AN420" s="1236">
        <f>$V420*BIBLE!Z228</f>
        <v>0</v>
      </c>
      <c r="AO420" s="1236">
        <f>$V420*BIBLE!AA228</f>
        <v>14</v>
      </c>
      <c r="AP420" s="1236">
        <f>$V420*BIBLE!AB228</f>
        <v>0</v>
      </c>
      <c r="AQ420" s="1236">
        <f>$V420*BIBLE!AC228</f>
        <v>0</v>
      </c>
      <c r="AR420" s="1236">
        <f>$V420*BIBLE!AD228</f>
        <v>0</v>
      </c>
    </row>
    <row r="421" spans="1:44" s="7" customFormat="1" ht="75" customHeight="1" x14ac:dyDescent="0.2">
      <c r="A421" s="1200" t="str">
        <f>BIBLE!E229</f>
        <v>NC11</v>
      </c>
      <c r="B421" s="133" t="str">
        <f>IF(P46&lt;&gt;1,BIBLE!F229,"")</f>
        <v xml:space="preserve">Le nouveau ou nouvelle conjoint·e est responsable de la logistique familiale (communications scolaires, rendez-vous médicaux, etc.). </v>
      </c>
      <c r="C421" s="463" t="str">
        <f>BIBLE!O229</f>
        <v xml:space="preserve">Jamais / Rarement / Occasionnellement / Régulièrement / Souvent / Toujours / S.O. </v>
      </c>
      <c r="D421" s="1290">
        <f>BIBLE!L229</f>
        <v>2</v>
      </c>
      <c r="E421" s="19"/>
      <c r="F421" s="19"/>
      <c r="G421" s="19"/>
      <c r="H421" s="19"/>
      <c r="I421" s="19"/>
      <c r="J421" s="19">
        <v>1</v>
      </c>
      <c r="K421" s="19"/>
      <c r="L421" s="19"/>
      <c r="M421" s="19"/>
      <c r="N421" s="19"/>
      <c r="O421" s="19"/>
      <c r="P421" s="1561">
        <f>'TEST_pour PROTOTYPE'!D374</f>
        <v>7</v>
      </c>
      <c r="Q421" s="24">
        <f t="shared" si="157"/>
        <v>14</v>
      </c>
      <c r="R421" s="8"/>
      <c r="V421" s="6">
        <f t="shared" si="158"/>
        <v>14</v>
      </c>
      <c r="W421" s="273"/>
      <c r="X421" s="6">
        <f t="shared" si="159"/>
        <v>0</v>
      </c>
      <c r="Y421" s="6">
        <f t="shared" si="159"/>
        <v>2</v>
      </c>
      <c r="Z421" s="6">
        <f t="shared" si="159"/>
        <v>4</v>
      </c>
      <c r="AA421" s="6">
        <f t="shared" si="159"/>
        <v>8</v>
      </c>
      <c r="AB421" s="6">
        <f t="shared" si="159"/>
        <v>14</v>
      </c>
      <c r="AC421" s="6">
        <f t="shared" si="159"/>
        <v>20</v>
      </c>
      <c r="AE421" s="477"/>
      <c r="AF421" s="38"/>
      <c r="AG421" s="38"/>
      <c r="AH421" s="22">
        <f>$V421*BIBLE!S229</f>
        <v>14</v>
      </c>
      <c r="AI421" s="22">
        <f>$V421*BIBLE!T229</f>
        <v>0</v>
      </c>
      <c r="AJ421" s="22">
        <f>$V421*BIBLE!U229</f>
        <v>0</v>
      </c>
      <c r="AK421" s="1236">
        <f>$V421*BIBLE!W229</f>
        <v>0</v>
      </c>
      <c r="AL421" s="1236">
        <f>$V421*BIBLE!X229</f>
        <v>0</v>
      </c>
      <c r="AM421" s="1236">
        <f>$V421*BIBLE!Y229</f>
        <v>0</v>
      </c>
      <c r="AN421" s="1236">
        <f>$V421*BIBLE!Z229</f>
        <v>0</v>
      </c>
      <c r="AO421" s="1236">
        <f>$V421*BIBLE!AA229</f>
        <v>14</v>
      </c>
      <c r="AP421" s="1236">
        <f>$V421*BIBLE!AB229</f>
        <v>0</v>
      </c>
      <c r="AQ421" s="1236">
        <f>$V421*BIBLE!AC229</f>
        <v>0</v>
      </c>
      <c r="AR421" s="1236">
        <f>$V421*BIBLE!AD229</f>
        <v>0</v>
      </c>
    </row>
    <row r="422" spans="1:44" s="7" customFormat="1" ht="75" customHeight="1" x14ac:dyDescent="0.2">
      <c r="A422" s="1200" t="str">
        <f>BIBLE!E230</f>
        <v>NC12</v>
      </c>
      <c r="B422" s="133" t="str">
        <f>IF(AND(P46&lt;&gt;1,P59&gt;=3),BIBLE!F230,"")</f>
        <v>À quelle fréquence le nouveau ou nouvelle conjoint·e communique-t-il ou elle avec votre enfant durant votre temps de garde ?</v>
      </c>
      <c r="C422" s="463" t="str">
        <f>BIBLE!O230</f>
        <v xml:space="preserve">Jamais / Rarement, au besoin / 1 à 2 fois semaine / 3 à 5 fois semaine / Presque tous les jours / Plusieurs fois par jour / S.O. </v>
      </c>
      <c r="D422" s="1290">
        <f>BIBLE!L230</f>
        <v>3</v>
      </c>
      <c r="E422" s="19"/>
      <c r="F422" s="19"/>
      <c r="G422" s="19"/>
      <c r="H422" s="19"/>
      <c r="I422" s="19"/>
      <c r="J422" s="19">
        <v>1</v>
      </c>
      <c r="K422" s="19"/>
      <c r="L422" s="19"/>
      <c r="M422" s="19"/>
      <c r="N422" s="19"/>
      <c r="O422" s="19"/>
      <c r="P422" s="1561">
        <f>'TEST_pour PROTOTYPE'!D375</f>
        <v>7</v>
      </c>
      <c r="Q422" s="24">
        <f>P422*D422</f>
        <v>21</v>
      </c>
      <c r="R422" s="8"/>
      <c r="V422" s="6">
        <f t="shared" si="158"/>
        <v>21</v>
      </c>
      <c r="W422" s="273"/>
      <c r="X422" s="6">
        <f t="shared" si="159"/>
        <v>0</v>
      </c>
      <c r="Y422" s="6">
        <f t="shared" si="159"/>
        <v>3</v>
      </c>
      <c r="Z422" s="6">
        <f t="shared" si="159"/>
        <v>6</v>
      </c>
      <c r="AA422" s="6">
        <f t="shared" si="159"/>
        <v>12</v>
      </c>
      <c r="AB422" s="6">
        <f t="shared" si="159"/>
        <v>21</v>
      </c>
      <c r="AC422" s="6">
        <f t="shared" si="159"/>
        <v>30</v>
      </c>
      <c r="AE422" s="477"/>
      <c r="AF422" s="38"/>
      <c r="AG422" s="38"/>
      <c r="AH422" s="22">
        <f>$V422*BIBLE!S230</f>
        <v>21</v>
      </c>
      <c r="AI422" s="22">
        <f>$V422*BIBLE!T230</f>
        <v>0</v>
      </c>
      <c r="AJ422" s="22">
        <f>$V422*BIBLE!U230</f>
        <v>0</v>
      </c>
      <c r="AK422" s="1236">
        <f>$V422*BIBLE!W230</f>
        <v>0</v>
      </c>
      <c r="AL422" s="1236">
        <f>$V422*BIBLE!X230</f>
        <v>0</v>
      </c>
      <c r="AM422" s="1236">
        <f>$V422*BIBLE!Y230</f>
        <v>0</v>
      </c>
      <c r="AN422" s="1236">
        <f>$V422*BIBLE!Z230</f>
        <v>0</v>
      </c>
      <c r="AO422" s="1236">
        <f>$V422*BIBLE!AA230</f>
        <v>21</v>
      </c>
      <c r="AP422" s="1236">
        <f>$V422*BIBLE!AB230</f>
        <v>0</v>
      </c>
      <c r="AQ422" s="1236">
        <f>$V422*BIBLE!AC230</f>
        <v>0</v>
      </c>
      <c r="AR422" s="1236">
        <f>$V422*BIBLE!AD230</f>
        <v>0</v>
      </c>
    </row>
    <row r="423" spans="1:44" s="17" customFormat="1" ht="75" customHeight="1" x14ac:dyDescent="0.2">
      <c r="A423" s="1200" t="str">
        <f>BIBLE!E231</f>
        <v>NC13</v>
      </c>
      <c r="B423" s="133" t="str">
        <f>IF(P46&lt;&gt;1,BIBLE!F231,"")</f>
        <v>Le nouveau ou nouvelle conjoint·e demande aux personnes gravitant autour de votre enfant de ne PAS vous communiquer de l'information à son sujet.</v>
      </c>
      <c r="C423" s="463" t="str">
        <f>BIBLE!O231</f>
        <v>Nulle / Très faible / Faible / Moyenne / Élevée / Très élevée / S.O.</v>
      </c>
      <c r="D423" s="1290">
        <f>BIBLE!L231</f>
        <v>3</v>
      </c>
      <c r="E423" s="19"/>
      <c r="F423" s="19"/>
      <c r="G423" s="19"/>
      <c r="H423" s="19"/>
      <c r="I423" s="19"/>
      <c r="J423" s="19">
        <v>1</v>
      </c>
      <c r="K423" s="19"/>
      <c r="L423" s="19"/>
      <c r="M423" s="19"/>
      <c r="N423" s="19"/>
      <c r="O423" s="19"/>
      <c r="P423" s="1561">
        <f>'TEST_pour PROTOTYPE'!D376</f>
        <v>7</v>
      </c>
      <c r="Q423" s="24">
        <f>P423*D423</f>
        <v>21</v>
      </c>
      <c r="R423" s="8"/>
      <c r="V423" s="6">
        <f t="shared" si="158"/>
        <v>21</v>
      </c>
      <c r="W423" s="273"/>
      <c r="X423" s="6">
        <f t="shared" si="159"/>
        <v>0</v>
      </c>
      <c r="Y423" s="6">
        <f t="shared" si="159"/>
        <v>3</v>
      </c>
      <c r="Z423" s="6">
        <f t="shared" si="159"/>
        <v>6</v>
      </c>
      <c r="AA423" s="6">
        <f t="shared" si="159"/>
        <v>12</v>
      </c>
      <c r="AB423" s="6">
        <f t="shared" si="159"/>
        <v>21</v>
      </c>
      <c r="AC423" s="6">
        <f t="shared" si="159"/>
        <v>30</v>
      </c>
      <c r="AE423" s="477"/>
      <c r="AF423" s="38"/>
      <c r="AG423" s="38"/>
      <c r="AH423" s="22">
        <f>$V423*BIBLE!S231</f>
        <v>21</v>
      </c>
      <c r="AI423" s="22">
        <f>$V423*BIBLE!T231</f>
        <v>0</v>
      </c>
      <c r="AJ423" s="22">
        <f>$V423*BIBLE!U231</f>
        <v>0</v>
      </c>
      <c r="AK423" s="1236">
        <f>$V423*BIBLE!W231</f>
        <v>0</v>
      </c>
      <c r="AL423" s="1236">
        <f>$V423*BIBLE!X231</f>
        <v>0</v>
      </c>
      <c r="AM423" s="1236">
        <f>$V423*BIBLE!Y231</f>
        <v>0</v>
      </c>
      <c r="AN423" s="1236">
        <f>$V423*BIBLE!Z231</f>
        <v>0</v>
      </c>
      <c r="AO423" s="1236">
        <f>$V423*BIBLE!AA231</f>
        <v>21</v>
      </c>
      <c r="AP423" s="1236">
        <f>$V423*BIBLE!AB231</f>
        <v>0</v>
      </c>
      <c r="AQ423" s="1236">
        <f>$V423*BIBLE!AC231</f>
        <v>0</v>
      </c>
      <c r="AR423" s="1236">
        <f>$V423*BIBLE!AD231</f>
        <v>0</v>
      </c>
    </row>
    <row r="424" spans="1:44" s="17" customFormat="1" ht="75" customHeight="1" x14ac:dyDescent="0.2">
      <c r="A424" s="1200" t="str">
        <f>BIBLE!E232</f>
        <v>NC14</v>
      </c>
      <c r="B424" s="133" t="str">
        <f>IF(P46&lt;&gt;1,BIBLE!F232,"")</f>
        <v>Le nouveau ou nouvelle conjoint·e demande à votre enfant de l'appeler maman ou papa.</v>
      </c>
      <c r="C424" s="466" t="str">
        <f>BIBLE!O232</f>
        <v>Nulle / Très faible / Faible / Moyenne / Élevée / Très élevée / S.O.</v>
      </c>
      <c r="D424" s="1290">
        <f>BIBLE!L232</f>
        <v>2</v>
      </c>
      <c r="E424" s="19"/>
      <c r="F424" s="19"/>
      <c r="G424" s="19"/>
      <c r="H424" s="19">
        <v>1</v>
      </c>
      <c r="I424" s="19"/>
      <c r="J424" s="19"/>
      <c r="K424" s="19"/>
      <c r="L424" s="19"/>
      <c r="M424" s="19"/>
      <c r="N424" s="19"/>
      <c r="O424" s="19"/>
      <c r="P424" s="1561">
        <f>'TEST_pour PROTOTYPE'!D377</f>
        <v>2</v>
      </c>
      <c r="Q424" s="24">
        <f t="shared" si="157"/>
        <v>4</v>
      </c>
      <c r="R424" s="15"/>
      <c r="S424" s="458"/>
      <c r="T424" s="458"/>
      <c r="U424" s="458"/>
      <c r="V424" s="6">
        <f t="shared" si="158"/>
        <v>4</v>
      </c>
      <c r="W424" s="273"/>
      <c r="X424" s="6">
        <f t="shared" si="159"/>
        <v>0</v>
      </c>
      <c r="Y424" s="6">
        <f t="shared" si="159"/>
        <v>2</v>
      </c>
      <c r="Z424" s="6">
        <f t="shared" si="159"/>
        <v>4</v>
      </c>
      <c r="AA424" s="6">
        <f t="shared" si="159"/>
        <v>8</v>
      </c>
      <c r="AB424" s="6">
        <f t="shared" si="159"/>
        <v>14</v>
      </c>
      <c r="AC424" s="6">
        <f t="shared" si="159"/>
        <v>20</v>
      </c>
      <c r="AE424" s="477"/>
      <c r="AF424" s="38"/>
      <c r="AG424" s="38"/>
      <c r="AH424" s="22">
        <f>$V424*BIBLE!S232</f>
        <v>0</v>
      </c>
      <c r="AI424" s="22">
        <f>$V424*BIBLE!T232</f>
        <v>0</v>
      </c>
      <c r="AJ424" s="22">
        <f>$V424*BIBLE!U232</f>
        <v>4</v>
      </c>
      <c r="AK424" s="1236">
        <f>$V424*BIBLE!W232</f>
        <v>0</v>
      </c>
      <c r="AL424" s="1236">
        <f>$V424*BIBLE!X232</f>
        <v>0</v>
      </c>
      <c r="AM424" s="1236">
        <f>$V424*BIBLE!Y232</f>
        <v>0</v>
      </c>
      <c r="AN424" s="1236">
        <f>$V424*BIBLE!Z232</f>
        <v>0</v>
      </c>
      <c r="AO424" s="1236">
        <f>$V424*BIBLE!AA232</f>
        <v>0</v>
      </c>
      <c r="AP424" s="1236">
        <f>$V424*BIBLE!AB232</f>
        <v>4</v>
      </c>
      <c r="AQ424" s="1236">
        <f>$V424*BIBLE!AC232</f>
        <v>0</v>
      </c>
      <c r="AR424" s="1236">
        <f>$V424*BIBLE!AD232</f>
        <v>0</v>
      </c>
    </row>
    <row r="425" spans="1:44" s="17" customFormat="1" ht="75" customHeight="1" x14ac:dyDescent="0.2">
      <c r="A425" s="1200" t="str">
        <f>BIBLE!E233</f>
        <v>NC15</v>
      </c>
      <c r="B425" s="133" t="str">
        <f>IF(AND(P46&lt;&gt;1,P59&gt;=3),BIBLE!F233,"")</f>
        <v>Dans quelle mesure diriez-vous que votre relation avec votre enfant est fragilisée depuis l'arrivée du nouveau ou nouvelle conjoint·e ?</v>
      </c>
      <c r="C425" s="463" t="str">
        <f>BIBLE!O233</f>
        <v>Pas du tout / Très peu / Un peu / Moyennement / Grandement / Totalement / S.O.</v>
      </c>
      <c r="D425" s="1290">
        <f>BIBLE!L233</f>
        <v>2</v>
      </c>
      <c r="E425" s="19"/>
      <c r="F425" s="19"/>
      <c r="G425" s="19"/>
      <c r="H425" s="19"/>
      <c r="I425" s="19"/>
      <c r="J425" s="19"/>
      <c r="K425" s="19">
        <v>1</v>
      </c>
      <c r="L425" s="19"/>
      <c r="M425" s="19"/>
      <c r="N425" s="19"/>
      <c r="O425" s="19"/>
      <c r="P425" s="1561">
        <f>'TEST_pour PROTOTYPE'!D378</f>
        <v>10</v>
      </c>
      <c r="Q425" s="24">
        <f t="shared" si="157"/>
        <v>20</v>
      </c>
      <c r="R425" s="8"/>
      <c r="S425" s="7"/>
      <c r="T425" s="7"/>
      <c r="U425" s="7"/>
      <c r="V425" s="6">
        <f t="shared" si="158"/>
        <v>20</v>
      </c>
      <c r="W425" s="273"/>
      <c r="X425" s="6">
        <f t="shared" si="159"/>
        <v>0</v>
      </c>
      <c r="Y425" s="6">
        <f t="shared" si="159"/>
        <v>2</v>
      </c>
      <c r="Z425" s="6">
        <f t="shared" si="159"/>
        <v>4</v>
      </c>
      <c r="AA425" s="6">
        <f t="shared" si="159"/>
        <v>8</v>
      </c>
      <c r="AB425" s="6">
        <f t="shared" si="159"/>
        <v>14</v>
      </c>
      <c r="AC425" s="6">
        <f t="shared" si="159"/>
        <v>20</v>
      </c>
      <c r="AE425" s="477"/>
      <c r="AF425" s="38"/>
      <c r="AG425" s="38"/>
      <c r="AH425" s="22">
        <f>$V425*BIBLE!S233</f>
        <v>0</v>
      </c>
      <c r="AI425" s="22">
        <f>$V425*BIBLE!T233</f>
        <v>20</v>
      </c>
      <c r="AJ425" s="22">
        <f>$V425*BIBLE!U233</f>
        <v>0</v>
      </c>
      <c r="AK425" s="1236">
        <f>$V425*BIBLE!W233</f>
        <v>0</v>
      </c>
      <c r="AL425" s="1236">
        <f>$V425*BIBLE!X233</f>
        <v>0</v>
      </c>
      <c r="AM425" s="1236">
        <f>$V425*BIBLE!Y233</f>
        <v>0</v>
      </c>
      <c r="AN425" s="1236">
        <f>$V425*BIBLE!Z233</f>
        <v>0</v>
      </c>
      <c r="AO425" s="1236">
        <f>$V425*BIBLE!AA233</f>
        <v>0</v>
      </c>
      <c r="AP425" s="1236">
        <f>$V425*BIBLE!AB233</f>
        <v>20</v>
      </c>
      <c r="AQ425" s="1236">
        <f>$V425*BIBLE!AC233</f>
        <v>0</v>
      </c>
      <c r="AR425" s="1236">
        <f>$V425*BIBLE!AD233</f>
        <v>0</v>
      </c>
    </row>
    <row r="426" spans="1:44" s="17" customFormat="1" ht="75" customHeight="1" x14ac:dyDescent="0.2">
      <c r="A426" s="1200" t="str">
        <f>BIBLE!E234</f>
        <v>NC16</v>
      </c>
      <c r="B426" s="133" t="str">
        <f>IF(AND(P46&lt;&gt;1,P183&gt;=R183),BIBLE!F234,"")</f>
        <v>Est-ce que le nouveau ou nouvelle conjoint·e vous demande de respecter les désirs et choix de votre enfant ?</v>
      </c>
      <c r="C426" s="463" t="str">
        <f>BIBLE!O234</f>
        <v xml:space="preserve">Jamais / Rarement / Occasionnellement / Régulièrement / Souvent / Toujours / S.O. </v>
      </c>
      <c r="D426" s="1290">
        <f>IF(E40&gt;=11,BIBLE!L234,BIBLE!M234)</f>
        <v>3</v>
      </c>
      <c r="E426" s="19"/>
      <c r="F426" s="19"/>
      <c r="G426" s="19"/>
      <c r="H426" s="19"/>
      <c r="I426" s="19"/>
      <c r="J426" s="19">
        <v>1</v>
      </c>
      <c r="K426" s="19"/>
      <c r="L426" s="19"/>
      <c r="M426" s="19"/>
      <c r="N426" s="19"/>
      <c r="O426" s="19"/>
      <c r="P426" s="1561">
        <f>'TEST_pour PROTOTYPE'!D379</f>
        <v>7</v>
      </c>
      <c r="Q426" s="24">
        <f>P426*D426</f>
        <v>21</v>
      </c>
      <c r="R426" s="8"/>
      <c r="V426" s="6">
        <f t="shared" si="158"/>
        <v>21</v>
      </c>
      <c r="W426" s="273"/>
      <c r="X426" s="6">
        <f t="shared" si="159"/>
        <v>0</v>
      </c>
      <c r="Y426" s="6">
        <f t="shared" si="159"/>
        <v>3</v>
      </c>
      <c r="Z426" s="6">
        <f t="shared" si="159"/>
        <v>6</v>
      </c>
      <c r="AA426" s="6">
        <f t="shared" si="159"/>
        <v>12</v>
      </c>
      <c r="AB426" s="6">
        <f t="shared" si="159"/>
        <v>21</v>
      </c>
      <c r="AC426" s="6">
        <f t="shared" si="159"/>
        <v>30</v>
      </c>
      <c r="AE426" s="477"/>
      <c r="AF426" s="38"/>
      <c r="AG426" s="38"/>
      <c r="AH426" s="22">
        <f>$V426*BIBLE!S234</f>
        <v>0</v>
      </c>
      <c r="AI426" s="22">
        <f>$V426*BIBLE!T234</f>
        <v>0</v>
      </c>
      <c r="AJ426" s="22">
        <f>$V426*BIBLE!U234</f>
        <v>21</v>
      </c>
      <c r="AK426" s="1236">
        <f>$V426*BIBLE!W234</f>
        <v>0</v>
      </c>
      <c r="AL426" s="1236">
        <f>$V426*BIBLE!X234</f>
        <v>0</v>
      </c>
      <c r="AM426" s="1236">
        <f>$V426*BIBLE!Y234</f>
        <v>0</v>
      </c>
      <c r="AN426" s="1236">
        <f>$V426*BIBLE!Z234</f>
        <v>0</v>
      </c>
      <c r="AO426" s="1236">
        <f>$V426*BIBLE!AA234</f>
        <v>0</v>
      </c>
      <c r="AP426" s="1236">
        <f>$V426*BIBLE!AB234</f>
        <v>0</v>
      </c>
      <c r="AQ426" s="1236">
        <f>$V426*BIBLE!AC234</f>
        <v>21</v>
      </c>
      <c r="AR426" s="1236">
        <f>$V426*BIBLE!AD234</f>
        <v>0</v>
      </c>
    </row>
    <row r="427" spans="1:44" s="7" customFormat="1" x14ac:dyDescent="0.2">
      <c r="A427" s="41"/>
      <c r="C427" s="41"/>
      <c r="D427" s="263"/>
      <c r="E427" s="41"/>
      <c r="F427" s="41"/>
      <c r="G427" s="41"/>
      <c r="H427" s="41"/>
      <c r="I427" s="41"/>
      <c r="J427" s="41"/>
      <c r="K427" s="41"/>
      <c r="L427" s="41"/>
      <c r="M427" s="41"/>
      <c r="N427" s="41"/>
      <c r="O427" s="41"/>
      <c r="P427" s="41"/>
      <c r="R427" s="41"/>
      <c r="S427" s="41"/>
      <c r="T427" s="41"/>
      <c r="U427" s="41"/>
      <c r="V427" s="451">
        <f>SUM(V404:V426)</f>
        <v>160</v>
      </c>
      <c r="W427" s="41"/>
      <c r="X427" s="450">
        <f t="shared" ref="X427:AC427" si="177">SUM(X404:X426)</f>
        <v>0</v>
      </c>
      <c r="Y427" s="450">
        <f t="shared" si="177"/>
        <v>27</v>
      </c>
      <c r="Z427" s="450">
        <f t="shared" si="177"/>
        <v>54</v>
      </c>
      <c r="AA427" s="450">
        <f t="shared" si="177"/>
        <v>108</v>
      </c>
      <c r="AB427" s="450">
        <f t="shared" si="177"/>
        <v>189</v>
      </c>
      <c r="AC427" s="450">
        <f t="shared" si="177"/>
        <v>270</v>
      </c>
      <c r="AD427" s="503">
        <f>V427/AC427</f>
        <v>0.59259259259259256</v>
      </c>
      <c r="AE427" s="476">
        <f>SUM(AE404:AE426)</f>
        <v>0</v>
      </c>
      <c r="AF427" s="1711"/>
      <c r="AG427" s="1711"/>
      <c r="AH427" s="1242">
        <f>SUM(AH404:AH426)</f>
        <v>88</v>
      </c>
      <c r="AI427" s="1242">
        <f t="shared" ref="AI427:AR427" si="178">SUM(AI404:AI426)</f>
        <v>20</v>
      </c>
      <c r="AJ427" s="1242">
        <f t="shared" si="178"/>
        <v>44</v>
      </c>
      <c r="AK427" s="1243">
        <f t="shared" si="178"/>
        <v>0</v>
      </c>
      <c r="AL427" s="1243">
        <f t="shared" si="178"/>
        <v>14</v>
      </c>
      <c r="AM427" s="1243">
        <f t="shared" si="178"/>
        <v>7</v>
      </c>
      <c r="AN427" s="1243">
        <f t="shared" si="178"/>
        <v>12</v>
      </c>
      <c r="AO427" s="1243">
        <f t="shared" si="178"/>
        <v>74</v>
      </c>
      <c r="AP427" s="1243">
        <f t="shared" si="178"/>
        <v>24</v>
      </c>
      <c r="AQ427" s="1243">
        <f t="shared" si="178"/>
        <v>21</v>
      </c>
      <c r="AR427" s="1243">
        <f t="shared" si="178"/>
        <v>0</v>
      </c>
    </row>
    <row r="428" spans="1:44" s="7" customFormat="1" x14ac:dyDescent="0.2">
      <c r="A428" s="1201"/>
      <c r="C428" s="41"/>
      <c r="D428" s="263"/>
      <c r="E428" s="41"/>
      <c r="F428" s="41"/>
      <c r="G428" s="41"/>
      <c r="H428" s="41"/>
      <c r="I428" s="41"/>
      <c r="J428" s="41"/>
      <c r="K428" s="41"/>
      <c r="L428" s="41"/>
      <c r="M428" s="41"/>
      <c r="N428" s="41"/>
      <c r="O428" s="41"/>
      <c r="P428" s="41"/>
      <c r="Q428" s="41"/>
      <c r="R428" s="41"/>
      <c r="S428" s="41"/>
      <c r="T428" s="41"/>
      <c r="U428" s="41"/>
      <c r="V428" s="498"/>
      <c r="W428" s="41"/>
      <c r="X428" s="8" t="s">
        <v>1705</v>
      </c>
      <c r="Z428" s="8" t="s">
        <v>358</v>
      </c>
      <c r="AA428" s="8" t="s">
        <v>2010</v>
      </c>
      <c r="AB428" s="8" t="s">
        <v>1987</v>
      </c>
      <c r="AC428" s="8"/>
      <c r="AE428" s="477"/>
      <c r="AF428" s="38"/>
      <c r="AG428" s="38"/>
      <c r="AH428" s="1240">
        <f>AH427/SUM($AH$427:$AJ$427)</f>
        <v>0.57894736842105265</v>
      </c>
      <c r="AI428" s="1240">
        <f>AI427/SUM($AH$427:$AJ$427)</f>
        <v>0.13157894736842105</v>
      </c>
      <c r="AJ428" s="1240">
        <f>AJ427/SUM($AH$427:$AJ$427)</f>
        <v>0.28947368421052633</v>
      </c>
      <c r="AK428" s="1241">
        <f>AK427/SUM($AK$427:$AR$427)</f>
        <v>0</v>
      </c>
      <c r="AL428" s="1241">
        <f t="shared" ref="AL428:AR428" si="179">AL427/SUM($AK$427:$AR$427)</f>
        <v>9.2105263157894732E-2</v>
      </c>
      <c r="AM428" s="1241">
        <f t="shared" si="179"/>
        <v>4.6052631578947366E-2</v>
      </c>
      <c r="AN428" s="1241">
        <f t="shared" si="179"/>
        <v>7.8947368421052627E-2</v>
      </c>
      <c r="AO428" s="1241">
        <f t="shared" si="179"/>
        <v>0.48684210526315791</v>
      </c>
      <c r="AP428" s="1241">
        <f t="shared" si="179"/>
        <v>0.15789473684210525</v>
      </c>
      <c r="AQ428" s="1241">
        <f t="shared" si="179"/>
        <v>0.13815789473684212</v>
      </c>
      <c r="AR428" s="1241">
        <f t="shared" si="179"/>
        <v>0</v>
      </c>
    </row>
    <row r="429" spans="1:44" s="7" customFormat="1" ht="18" customHeight="1" x14ac:dyDescent="0.2">
      <c r="A429" s="1212" t="str">
        <f>BIBLE!E240</f>
        <v>S01</v>
      </c>
      <c r="B429" t="str">
        <f>BIBLE!F240</f>
        <v xml:space="preserve">À quel groupe d'âge appartenez-vous? </v>
      </c>
      <c r="C429"/>
      <c r="D429" s="263"/>
      <c r="E429" s="41"/>
      <c r="F429" s="41"/>
      <c r="G429" s="41"/>
      <c r="H429" s="41"/>
      <c r="I429" s="41"/>
      <c r="J429" s="41"/>
      <c r="K429" s="41"/>
      <c r="L429" s="41"/>
      <c r="M429" s="41"/>
      <c r="N429" s="41"/>
      <c r="O429" s="41"/>
      <c r="P429" s="1461">
        <f>'TEST_pour PROTOTYPE'!D398</f>
        <v>3</v>
      </c>
      <c r="Q429" s="41"/>
      <c r="R429" s="41"/>
      <c r="S429" s="41"/>
      <c r="T429" s="41"/>
      <c r="U429" s="41"/>
      <c r="V429" s="498"/>
      <c r="W429" s="41"/>
      <c r="X429" s="8"/>
      <c r="Y429" s="8"/>
      <c r="Z429" s="8" t="s">
        <v>1058</v>
      </c>
      <c r="AA429" s="2183">
        <f>(AA427-Z427)/(AC427-Z427)</f>
        <v>0.25</v>
      </c>
      <c r="AB429" s="2183">
        <f>(AB427-AA427)/(AC427-Z427)</f>
        <v>0.375</v>
      </c>
      <c r="AC429" s="8" t="s">
        <v>1059</v>
      </c>
    </row>
    <row r="430" spans="1:44" s="7" customFormat="1" ht="18" customHeight="1" x14ac:dyDescent="0.2">
      <c r="A430" s="1211"/>
      <c r="B430" s="2" t="s">
        <v>212</v>
      </c>
      <c r="D430" s="1660">
        <v>1</v>
      </c>
      <c r="E430" s="37" t="str">
        <f>IF(P$429=D430,1,"x")</f>
        <v>x</v>
      </c>
      <c r="F430" s="263"/>
      <c r="G430" s="41"/>
      <c r="H430" s="41"/>
      <c r="I430" s="41"/>
      <c r="J430" s="41"/>
      <c r="K430" s="41"/>
      <c r="L430" s="41"/>
      <c r="M430" s="41"/>
      <c r="N430" s="41"/>
      <c r="O430" s="41"/>
      <c r="P430" s="41"/>
      <c r="Q430" s="41"/>
      <c r="R430" s="41"/>
      <c r="S430" s="41"/>
      <c r="T430" s="41"/>
      <c r="U430" s="41"/>
      <c r="V430" s="498"/>
      <c r="W430" s="41"/>
      <c r="X430" s="8"/>
      <c r="Y430" s="8"/>
      <c r="Z430" s="8"/>
      <c r="AA430" s="8"/>
      <c r="AB430" s="8"/>
      <c r="AC430" s="8"/>
      <c r="AH430" s="2489" t="s">
        <v>1036</v>
      </c>
      <c r="AI430" s="2489"/>
      <c r="AJ430" s="2489"/>
      <c r="AK430" s="2489"/>
      <c r="AL430" s="2489"/>
      <c r="AM430" s="2489"/>
      <c r="AN430" s="2489"/>
      <c r="AO430" s="2489"/>
      <c r="AP430" s="2489"/>
      <c r="AQ430" s="2489"/>
      <c r="AR430" s="2489"/>
    </row>
    <row r="431" spans="1:44" s="7" customFormat="1" ht="18" customHeight="1" x14ac:dyDescent="0.2">
      <c r="A431" s="1211"/>
      <c r="B431" s="2" t="s">
        <v>213</v>
      </c>
      <c r="D431" s="1660">
        <v>2</v>
      </c>
      <c r="E431" s="37" t="str">
        <f t="shared" ref="E431:E435" si="180">IF(P$429=D431,1,"x")</f>
        <v>x</v>
      </c>
      <c r="F431" s="263"/>
      <c r="G431" s="41"/>
      <c r="H431" s="41"/>
      <c r="I431" s="41"/>
      <c r="J431" s="41"/>
      <c r="K431" s="41"/>
      <c r="L431" s="41"/>
      <c r="M431" s="41"/>
      <c r="N431" s="41"/>
      <c r="O431" s="41"/>
      <c r="P431" s="41"/>
      <c r="Q431" s="41"/>
      <c r="R431" s="41"/>
      <c r="S431" s="41"/>
      <c r="T431" s="41"/>
      <c r="U431" s="41"/>
      <c r="V431" s="498"/>
      <c r="W431" s="41"/>
      <c r="X431" s="8"/>
      <c r="Y431" s="8"/>
      <c r="Z431" s="8"/>
      <c r="AA431" s="8"/>
      <c r="AB431" s="8"/>
      <c r="AC431" s="8"/>
      <c r="AD431" s="53"/>
      <c r="AH431" s="2488" t="s">
        <v>1038</v>
      </c>
      <c r="AI431" s="2488"/>
      <c r="AJ431" s="2488"/>
      <c r="AK431" s="2488" t="s">
        <v>681</v>
      </c>
      <c r="AL431" s="2488"/>
      <c r="AM431" s="2488"/>
      <c r="AN431" s="2488"/>
      <c r="AO431" s="2488"/>
      <c r="AP431" s="2488"/>
      <c r="AQ431" s="2488"/>
      <c r="AR431" s="2488"/>
    </row>
    <row r="432" spans="1:44" s="7" customFormat="1" ht="18" customHeight="1" x14ac:dyDescent="0.2">
      <c r="A432" s="1211"/>
      <c r="B432" s="2" t="s">
        <v>214</v>
      </c>
      <c r="D432" s="1660">
        <v>3</v>
      </c>
      <c r="E432" s="37">
        <f t="shared" si="180"/>
        <v>1</v>
      </c>
      <c r="F432" s="263"/>
      <c r="G432" s="41"/>
      <c r="H432" s="41"/>
      <c r="I432" s="41"/>
      <c r="J432" s="41"/>
      <c r="K432" s="41"/>
      <c r="L432" s="41"/>
      <c r="M432" s="41"/>
      <c r="N432" s="41"/>
      <c r="O432" s="41"/>
      <c r="P432" s="41"/>
      <c r="Q432" s="41"/>
      <c r="R432" s="41"/>
      <c r="S432" s="41"/>
      <c r="T432" s="41"/>
      <c r="U432" s="41"/>
      <c r="V432" s="498"/>
      <c r="W432" s="41"/>
      <c r="X432" s="8"/>
      <c r="Y432" s="8"/>
      <c r="Z432" s="8"/>
      <c r="AA432" s="8"/>
      <c r="AB432" s="8"/>
      <c r="AC432" s="8"/>
      <c r="AD432" s="53"/>
      <c r="AH432" s="1267">
        <f t="shared" ref="AH432:AR432" si="181">AH159+AH259+AH427</f>
        <v>343</v>
      </c>
      <c r="AI432" s="1267">
        <f t="shared" si="181"/>
        <v>173</v>
      </c>
      <c r="AJ432" s="1267">
        <f t="shared" si="181"/>
        <v>107</v>
      </c>
      <c r="AK432" s="1266">
        <f t="shared" si="181"/>
        <v>0</v>
      </c>
      <c r="AL432" s="1266">
        <f t="shared" si="181"/>
        <v>63</v>
      </c>
      <c r="AM432" s="1266">
        <f t="shared" si="181"/>
        <v>61</v>
      </c>
      <c r="AN432" s="1266">
        <f t="shared" si="181"/>
        <v>52</v>
      </c>
      <c r="AO432" s="1266">
        <f t="shared" si="181"/>
        <v>157</v>
      </c>
      <c r="AP432" s="1266">
        <f t="shared" si="181"/>
        <v>146</v>
      </c>
      <c r="AQ432" s="1266">
        <f t="shared" si="181"/>
        <v>85</v>
      </c>
      <c r="AR432" s="1266">
        <f t="shared" si="181"/>
        <v>71</v>
      </c>
    </row>
    <row r="433" spans="1:44" s="7" customFormat="1" ht="18" customHeight="1" x14ac:dyDescent="0.2">
      <c r="A433" s="1211"/>
      <c r="B433" s="2" t="s">
        <v>215</v>
      </c>
      <c r="D433" s="1660">
        <v>4</v>
      </c>
      <c r="E433" s="37" t="str">
        <f t="shared" si="180"/>
        <v>x</v>
      </c>
      <c r="F433" s="263"/>
      <c r="G433" s="41"/>
      <c r="H433" s="41"/>
      <c r="I433" s="41"/>
      <c r="J433" s="41"/>
      <c r="K433" s="41"/>
      <c r="L433" s="41"/>
      <c r="M433" s="41"/>
      <c r="N433" s="41"/>
      <c r="O433" s="41"/>
      <c r="P433" s="41"/>
      <c r="Q433" s="41"/>
      <c r="R433" s="41"/>
      <c r="S433" s="41"/>
      <c r="T433" s="41"/>
      <c r="U433" s="41"/>
      <c r="V433" s="498"/>
      <c r="W433" s="41"/>
      <c r="X433" s="8"/>
      <c r="Y433" s="8"/>
      <c r="Z433" s="8"/>
      <c r="AA433" s="8"/>
      <c r="AB433" s="8"/>
      <c r="AC433" s="8"/>
      <c r="AD433" s="53"/>
      <c r="AH433" s="1240">
        <f>AH432/SUM($AH$432:$AJ$432)</f>
        <v>0.550561797752809</v>
      </c>
      <c r="AI433" s="1240">
        <f>AI432/SUM($AH$432:$AJ$432)</f>
        <v>0.27768860353130015</v>
      </c>
      <c r="AJ433" s="1240">
        <f>AJ432/SUM($AH$432:$AJ$432)</f>
        <v>0.17174959871589085</v>
      </c>
      <c r="AK433" s="1241">
        <f t="shared" ref="AK433:AR433" si="182">AK432/SUM($AK$432:$AR$432)</f>
        <v>0</v>
      </c>
      <c r="AL433" s="1241">
        <f t="shared" si="182"/>
        <v>9.9212598425196849E-2</v>
      </c>
      <c r="AM433" s="1241">
        <f t="shared" si="182"/>
        <v>9.6062992125984251E-2</v>
      </c>
      <c r="AN433" s="1241">
        <f t="shared" si="182"/>
        <v>8.1889763779527558E-2</v>
      </c>
      <c r="AO433" s="1241">
        <f t="shared" si="182"/>
        <v>0.24724409448818899</v>
      </c>
      <c r="AP433" s="1241">
        <f t="shared" si="182"/>
        <v>0.22992125984251968</v>
      </c>
      <c r="AQ433" s="1241">
        <f t="shared" si="182"/>
        <v>0.13385826771653545</v>
      </c>
      <c r="AR433" s="1241">
        <f t="shared" si="182"/>
        <v>0.11181102362204724</v>
      </c>
    </row>
    <row r="434" spans="1:44" s="7" customFormat="1" ht="18" customHeight="1" x14ac:dyDescent="0.2">
      <c r="A434" s="1211"/>
      <c r="B434" s="2" t="s">
        <v>216</v>
      </c>
      <c r="D434" s="1660">
        <v>5</v>
      </c>
      <c r="E434" s="37" t="str">
        <f>IF(P$429=D434,1,"x")</f>
        <v>x</v>
      </c>
      <c r="F434" s="263"/>
      <c r="G434" s="41"/>
      <c r="H434" s="41"/>
      <c r="I434" s="41"/>
      <c r="J434" s="41"/>
      <c r="K434" s="41"/>
      <c r="L434" s="41"/>
      <c r="M434" s="41"/>
      <c r="N434" s="41"/>
      <c r="O434" s="41"/>
      <c r="P434" s="41"/>
      <c r="Q434" s="41"/>
      <c r="R434" s="41"/>
      <c r="S434" s="41"/>
      <c r="T434" s="41"/>
      <c r="U434" s="41"/>
      <c r="V434" s="498"/>
      <c r="W434" s="41"/>
      <c r="X434" s="8"/>
      <c r="Y434" s="8"/>
      <c r="Z434" s="8"/>
      <c r="AA434" s="8"/>
      <c r="AB434" s="8"/>
      <c r="AC434" s="8"/>
    </row>
    <row r="435" spans="1:44" s="7" customFormat="1" ht="18" customHeight="1" x14ac:dyDescent="0.2">
      <c r="A435" s="1211"/>
      <c r="B435" s="2" t="s">
        <v>217</v>
      </c>
      <c r="D435" s="1660">
        <v>6</v>
      </c>
      <c r="E435" s="37" t="str">
        <f t="shared" si="180"/>
        <v>x</v>
      </c>
      <c r="F435" s="263"/>
      <c r="G435" s="41"/>
      <c r="H435" s="41"/>
      <c r="I435" s="41"/>
      <c r="J435" s="41"/>
      <c r="K435" s="41"/>
      <c r="L435" s="41"/>
      <c r="M435" s="41"/>
      <c r="N435" s="41"/>
      <c r="O435" s="41"/>
      <c r="P435" s="41"/>
      <c r="Q435" s="41"/>
      <c r="R435" s="41"/>
      <c r="S435" s="41"/>
      <c r="T435" s="41"/>
      <c r="U435" s="41"/>
      <c r="V435" s="498"/>
      <c r="W435" s="41"/>
      <c r="X435" s="8"/>
      <c r="Y435" s="8"/>
      <c r="Z435" s="8"/>
      <c r="AA435" s="8"/>
      <c r="AB435" s="8"/>
      <c r="AC435" s="8"/>
    </row>
    <row r="436" spans="1:44" s="7" customFormat="1" ht="24" customHeight="1" x14ac:dyDescent="0.2">
      <c r="A436" s="1202" t="str">
        <f>BIBLE!E241</f>
        <v>S02</v>
      </c>
      <c r="B436" s="7" t="str">
        <f>BIBLE!F241</f>
        <v xml:space="preserve">Êtes-vous en processus juridique actuellement? 
</v>
      </c>
      <c r="D436" s="1660"/>
      <c r="F436" s="267"/>
      <c r="H436" s="41"/>
      <c r="I436" s="41"/>
      <c r="J436" s="41"/>
      <c r="K436" s="41"/>
      <c r="L436" s="41"/>
      <c r="M436" s="41"/>
      <c r="N436" s="41"/>
      <c r="O436" s="41"/>
      <c r="P436" s="1461">
        <f>'TEST_pour PROTOTYPE'!D399</f>
        <v>3</v>
      </c>
      <c r="Q436" s="41"/>
      <c r="R436" s="41"/>
      <c r="S436" s="41"/>
      <c r="T436" s="41"/>
      <c r="U436" s="41"/>
      <c r="V436" s="498"/>
      <c r="W436" s="41"/>
      <c r="X436" s="8"/>
      <c r="Z436" s="8"/>
      <c r="AA436" s="8"/>
      <c r="AB436" s="8"/>
      <c r="AC436" s="8"/>
    </row>
    <row r="437" spans="1:44" s="7" customFormat="1" x14ac:dyDescent="0.2">
      <c r="A437" s="1202"/>
      <c r="B437" s="53" t="s">
        <v>243</v>
      </c>
      <c r="D437" s="1660">
        <v>1</v>
      </c>
      <c r="E437" s="37" t="str">
        <f>IF(P$436=D437,1,"x")</f>
        <v>x</v>
      </c>
      <c r="F437" s="267"/>
      <c r="H437" s="41"/>
      <c r="I437" s="41"/>
      <c r="J437" s="41"/>
      <c r="K437" s="41"/>
      <c r="L437" s="41"/>
      <c r="M437" s="41"/>
      <c r="N437" s="41"/>
      <c r="O437" s="41"/>
      <c r="P437" s="41"/>
      <c r="Q437" s="41"/>
      <c r="R437" s="41"/>
      <c r="S437" s="41"/>
      <c r="T437" s="41"/>
      <c r="U437" s="41"/>
      <c r="V437" s="498"/>
      <c r="W437" s="41"/>
      <c r="X437" s="8"/>
      <c r="Y437" s="8"/>
      <c r="Z437" s="8"/>
      <c r="AA437" s="8"/>
      <c r="AB437" s="8"/>
      <c r="AC437" s="8"/>
    </row>
    <row r="438" spans="1:44" s="7" customFormat="1" x14ac:dyDescent="0.2">
      <c r="A438" s="1202"/>
      <c r="B438" s="53" t="s">
        <v>244</v>
      </c>
      <c r="D438" s="1660">
        <v>2</v>
      </c>
      <c r="E438" s="37" t="str">
        <f>IF(P$436=D438,1,"x")</f>
        <v>x</v>
      </c>
      <c r="F438" s="267"/>
      <c r="H438" s="41"/>
      <c r="I438" s="41"/>
      <c r="J438" s="41"/>
      <c r="K438" s="41"/>
      <c r="L438" s="41"/>
      <c r="M438" s="41"/>
      <c r="N438" s="41"/>
      <c r="O438" s="41"/>
      <c r="P438" s="41"/>
      <c r="Q438" s="41"/>
      <c r="R438" s="41"/>
      <c r="S438" s="41"/>
      <c r="T438" s="41"/>
      <c r="U438" s="41"/>
      <c r="V438" s="498"/>
      <c r="W438" s="41"/>
      <c r="X438" s="8"/>
      <c r="Y438" s="8"/>
      <c r="Z438" s="8"/>
      <c r="AA438" s="8"/>
      <c r="AB438" s="8"/>
      <c r="AC438" s="8"/>
    </row>
    <row r="439" spans="1:44" s="7" customFormat="1" x14ac:dyDescent="0.2">
      <c r="A439" s="1202"/>
      <c r="B439" s="53" t="s">
        <v>245</v>
      </c>
      <c r="D439" s="1660">
        <v>3</v>
      </c>
      <c r="E439" s="37">
        <f t="shared" ref="E439:E440" si="183">IF(P$436=D439,1,"x")</f>
        <v>1</v>
      </c>
      <c r="F439" s="267"/>
      <c r="H439" s="41"/>
      <c r="I439" s="41"/>
      <c r="J439" s="41"/>
      <c r="K439" s="41"/>
      <c r="L439" s="41"/>
      <c r="M439" s="41"/>
      <c r="N439" s="41"/>
      <c r="O439" s="41"/>
      <c r="P439" s="41"/>
      <c r="Q439" s="41"/>
      <c r="R439" s="41"/>
      <c r="S439" s="41"/>
      <c r="T439" s="41"/>
      <c r="U439" s="41"/>
      <c r="V439" s="498"/>
      <c r="W439" s="41"/>
      <c r="X439" s="8"/>
      <c r="Y439" s="8"/>
      <c r="Z439" s="8"/>
      <c r="AA439" s="8"/>
      <c r="AB439" s="8"/>
      <c r="AC439" s="8"/>
    </row>
    <row r="440" spans="1:44" s="7" customFormat="1" x14ac:dyDescent="0.2">
      <c r="A440" s="1202"/>
      <c r="B440" s="53" t="s">
        <v>246</v>
      </c>
      <c r="D440" s="1660">
        <v>4</v>
      </c>
      <c r="E440" s="37" t="str">
        <f t="shared" si="183"/>
        <v>x</v>
      </c>
      <c r="F440" s="267"/>
      <c r="H440" s="41"/>
      <c r="I440" s="41"/>
      <c r="J440" s="41"/>
      <c r="K440" s="41"/>
      <c r="L440" s="41"/>
      <c r="M440" s="41"/>
      <c r="N440" s="41"/>
      <c r="O440" s="41"/>
      <c r="P440" s="41"/>
      <c r="Q440" s="41"/>
      <c r="R440" s="41"/>
      <c r="S440" s="41"/>
      <c r="T440" s="41"/>
      <c r="U440" s="41"/>
      <c r="V440" s="498"/>
      <c r="W440" s="41"/>
      <c r="X440" s="8"/>
      <c r="Y440" s="8"/>
      <c r="Z440" s="8"/>
      <c r="AA440" s="8"/>
      <c r="AB440" s="8"/>
      <c r="AC440" s="8"/>
    </row>
    <row r="441" spans="1:44" s="7" customFormat="1" x14ac:dyDescent="0.2">
      <c r="A441" s="1202"/>
      <c r="B441" s="53" t="s">
        <v>247</v>
      </c>
      <c r="D441" s="1660">
        <v>5</v>
      </c>
      <c r="E441" s="1556" t="s">
        <v>1169</v>
      </c>
      <c r="F441" s="267"/>
      <c r="H441" s="41"/>
      <c r="I441" s="41"/>
      <c r="J441" s="41"/>
      <c r="K441" s="41"/>
      <c r="L441" s="41"/>
      <c r="M441" s="41"/>
      <c r="N441" s="41"/>
      <c r="O441" s="41"/>
      <c r="P441" s="41"/>
      <c r="Q441" s="41"/>
      <c r="R441" s="41"/>
      <c r="S441" s="41"/>
      <c r="T441" s="41"/>
      <c r="U441" s="41"/>
      <c r="V441" s="498"/>
      <c r="W441" s="41"/>
      <c r="X441" s="8"/>
      <c r="Y441" s="8"/>
      <c r="Z441" s="8"/>
      <c r="AA441" s="8"/>
      <c r="AB441" s="8"/>
      <c r="AC441" s="8"/>
    </row>
    <row r="442" spans="1:44" s="7" customFormat="1" x14ac:dyDescent="0.2">
      <c r="A442" s="1202" t="str">
        <f>BIBLE!E242</f>
        <v>S03</v>
      </c>
      <c r="B442" s="7" t="str">
        <f>BIBLE!F242</f>
        <v xml:space="preserve">Quelles sont les modalités de garde des enfants aujourd'hui?
</v>
      </c>
      <c r="D442" s="1660"/>
      <c r="F442" s="267"/>
      <c r="H442" s="41"/>
      <c r="I442" s="41"/>
      <c r="J442" s="41"/>
      <c r="K442" s="41"/>
      <c r="L442" s="41"/>
      <c r="M442" s="41"/>
      <c r="N442" s="41"/>
      <c r="O442" s="41"/>
      <c r="P442" s="1461">
        <f>'TEST_pour PROTOTYPE'!D400</f>
        <v>7</v>
      </c>
      <c r="Q442" s="41"/>
      <c r="R442" s="41"/>
      <c r="S442" s="41"/>
      <c r="T442" s="41"/>
      <c r="U442" s="41"/>
      <c r="V442" s="498"/>
      <c r="W442" s="41"/>
      <c r="X442" s="8"/>
      <c r="Y442" s="8"/>
      <c r="Z442" s="8"/>
      <c r="AA442" s="8"/>
      <c r="AB442" s="8"/>
      <c r="AC442" s="8"/>
    </row>
    <row r="443" spans="1:44" s="7" customFormat="1" x14ac:dyDescent="0.2">
      <c r="A443" s="1202"/>
      <c r="B443" s="53" t="s">
        <v>248</v>
      </c>
      <c r="D443" s="1660">
        <v>1</v>
      </c>
      <c r="E443" s="37" t="str">
        <f>IF(P$442=D443,1,"x")</f>
        <v>x</v>
      </c>
      <c r="F443" s="267"/>
      <c r="H443" s="41"/>
      <c r="I443" s="41"/>
      <c r="J443" s="41"/>
      <c r="K443" s="41"/>
      <c r="L443" s="41"/>
      <c r="M443" s="41"/>
      <c r="N443" s="41"/>
      <c r="O443" s="41"/>
      <c r="P443" s="41"/>
      <c r="Q443" s="41"/>
      <c r="R443" s="41"/>
      <c r="S443" s="41"/>
      <c r="T443" s="41"/>
      <c r="U443" s="41"/>
      <c r="V443" s="498"/>
      <c r="W443" s="41"/>
      <c r="X443" s="8"/>
      <c r="Y443" s="8"/>
      <c r="Z443" s="8"/>
      <c r="AA443" s="8"/>
      <c r="AB443" s="8"/>
      <c r="AC443" s="8"/>
    </row>
    <row r="444" spans="1:44" s="7" customFormat="1" x14ac:dyDescent="0.2">
      <c r="A444" s="1202"/>
      <c r="B444" s="53" t="s">
        <v>249</v>
      </c>
      <c r="D444" s="1660">
        <v>2</v>
      </c>
      <c r="E444" s="37" t="str">
        <f t="shared" ref="E444:E449" si="184">IF(P$442=D444,1,"x")</f>
        <v>x</v>
      </c>
      <c r="F444" s="267"/>
      <c r="H444" s="41"/>
      <c r="I444" s="41"/>
      <c r="J444" s="41"/>
      <c r="K444" s="41"/>
      <c r="L444" s="41"/>
      <c r="M444" s="41"/>
      <c r="N444" s="41"/>
      <c r="O444" s="41"/>
      <c r="P444" s="41"/>
      <c r="Q444" s="41"/>
      <c r="R444" s="41"/>
      <c r="S444" s="41"/>
      <c r="T444" s="41"/>
      <c r="U444" s="41"/>
      <c r="V444" s="498"/>
      <c r="W444" s="41"/>
      <c r="X444" s="8"/>
      <c r="Y444" s="8"/>
      <c r="Z444" s="8"/>
      <c r="AA444" s="8"/>
      <c r="AB444" s="8"/>
      <c r="AC444" s="8"/>
    </row>
    <row r="445" spans="1:44" s="7" customFormat="1" x14ac:dyDescent="0.2">
      <c r="A445" s="1202"/>
      <c r="B445" s="53" t="s">
        <v>250</v>
      </c>
      <c r="D445" s="1660">
        <v>3</v>
      </c>
      <c r="E445" s="37" t="str">
        <f t="shared" si="184"/>
        <v>x</v>
      </c>
      <c r="F445" s="267"/>
      <c r="H445" s="25"/>
      <c r="I445" s="25"/>
      <c r="J445" s="25"/>
      <c r="K445" s="25"/>
      <c r="L445" s="25"/>
      <c r="M445" s="25"/>
      <c r="N445" s="25"/>
      <c r="O445" s="25"/>
      <c r="P445" s="25"/>
      <c r="Q445" s="25"/>
      <c r="R445" s="25"/>
      <c r="S445" s="25"/>
      <c r="T445" s="25"/>
      <c r="U445" s="25"/>
      <c r="V445" s="16"/>
      <c r="W445" s="25"/>
      <c r="X445" s="8"/>
      <c r="Y445" s="8"/>
      <c r="Z445" s="8"/>
      <c r="AA445" s="8"/>
      <c r="AB445" s="8"/>
      <c r="AC445" s="8"/>
    </row>
    <row r="446" spans="1:44" s="7" customFormat="1" x14ac:dyDescent="0.2">
      <c r="A446" s="1202"/>
      <c r="B446" s="53" t="s">
        <v>251</v>
      </c>
      <c r="D446" s="1660">
        <v>4</v>
      </c>
      <c r="E446" s="37" t="str">
        <f t="shared" si="184"/>
        <v>x</v>
      </c>
      <c r="F446" s="267"/>
      <c r="V446" s="8"/>
      <c r="X446" s="8"/>
      <c r="Y446" s="8"/>
      <c r="Z446" s="8"/>
      <c r="AA446" s="8"/>
      <c r="AB446" s="8"/>
      <c r="AC446" s="8"/>
    </row>
    <row r="447" spans="1:44" s="7" customFormat="1" x14ac:dyDescent="0.2">
      <c r="A447" s="1202"/>
      <c r="B447" s="53" t="s">
        <v>252</v>
      </c>
      <c r="D447" s="1660">
        <v>5</v>
      </c>
      <c r="E447" s="37" t="str">
        <f t="shared" si="184"/>
        <v>x</v>
      </c>
      <c r="F447" s="267"/>
      <c r="V447" s="8"/>
      <c r="X447" s="8"/>
      <c r="Y447" s="8"/>
      <c r="Z447" s="8"/>
      <c r="AA447" s="8"/>
      <c r="AB447" s="8"/>
      <c r="AC447" s="8"/>
    </row>
    <row r="448" spans="1:44" s="7" customFormat="1" x14ac:dyDescent="0.2">
      <c r="A448" s="1202"/>
      <c r="B448" s="53" t="s">
        <v>253</v>
      </c>
      <c r="D448" s="1660">
        <v>6</v>
      </c>
      <c r="E448" s="37" t="str">
        <f t="shared" si="184"/>
        <v>x</v>
      </c>
      <c r="F448" s="267"/>
      <c r="V448" s="8"/>
      <c r="X448" s="8"/>
      <c r="Y448" s="8"/>
      <c r="Z448" s="8"/>
      <c r="AA448" s="8"/>
      <c r="AB448" s="8"/>
      <c r="AC448" s="8"/>
    </row>
    <row r="449" spans="1:44" s="7" customFormat="1" ht="24" x14ac:dyDescent="0.2">
      <c r="A449" s="1202"/>
      <c r="B449" s="53" t="s">
        <v>396</v>
      </c>
      <c r="D449" s="1660">
        <v>7</v>
      </c>
      <c r="E449" s="37">
        <f t="shared" si="184"/>
        <v>1</v>
      </c>
      <c r="F449" s="267"/>
      <c r="V449" s="8"/>
      <c r="X449" s="8"/>
      <c r="Y449" s="8"/>
      <c r="Z449" s="8"/>
      <c r="AA449" s="8"/>
      <c r="AB449" s="8"/>
      <c r="AC449" s="8"/>
      <c r="AH449" s="2489" t="s">
        <v>1049</v>
      </c>
      <c r="AI449" s="2489"/>
      <c r="AJ449" s="2489"/>
      <c r="AK449" s="2489"/>
      <c r="AL449" s="2489"/>
      <c r="AM449" s="2489"/>
      <c r="AN449" s="2489"/>
      <c r="AO449" s="2489"/>
      <c r="AP449" s="2489"/>
      <c r="AQ449" s="2489"/>
      <c r="AR449" s="2489"/>
    </row>
    <row r="450" spans="1:44" s="7" customFormat="1" x14ac:dyDescent="0.2">
      <c r="A450" s="1202"/>
      <c r="B450" s="53" t="s">
        <v>247</v>
      </c>
      <c r="D450" s="1660">
        <v>8</v>
      </c>
      <c r="E450" s="1556" t="s">
        <v>1169</v>
      </c>
      <c r="F450" s="267"/>
      <c r="G450" s="277" t="s">
        <v>752</v>
      </c>
      <c r="V450" s="8"/>
      <c r="X450" s="8"/>
      <c r="Y450" s="8"/>
      <c r="Z450" s="8"/>
      <c r="AA450" s="8"/>
      <c r="AB450" s="8"/>
      <c r="AC450" s="8"/>
      <c r="AH450" s="2488" t="s">
        <v>1038</v>
      </c>
      <c r="AI450" s="2488"/>
      <c r="AJ450" s="2488"/>
      <c r="AK450" s="2488" t="s">
        <v>681</v>
      </c>
      <c r="AL450" s="2488"/>
      <c r="AM450" s="2488"/>
      <c r="AN450" s="2488"/>
      <c r="AO450" s="2488"/>
      <c r="AP450" s="2488"/>
      <c r="AQ450" s="2488"/>
      <c r="AR450" s="2488"/>
    </row>
    <row r="451" spans="1:44" s="7" customFormat="1" x14ac:dyDescent="0.2">
      <c r="A451" s="1202" t="str">
        <f>BIBLE!E243</f>
        <v>S03a</v>
      </c>
      <c r="B451" s="21" t="str">
        <f>IF(P442=1,BIBLE!F243," ")</f>
        <v xml:space="preserve"> </v>
      </c>
      <c r="D451" s="1660"/>
      <c r="E451" s="21"/>
      <c r="F451" s="271"/>
      <c r="G451" s="277"/>
      <c r="P451" s="1461">
        <f>'TEST_pour PROTOTYPE'!D401</f>
        <v>0</v>
      </c>
      <c r="V451" s="8"/>
      <c r="X451" s="8"/>
      <c r="Y451" s="8"/>
      <c r="Z451" s="8"/>
      <c r="AA451" s="8"/>
      <c r="AB451" s="8"/>
      <c r="AC451" s="8"/>
      <c r="AH451" s="1267">
        <f t="shared" ref="AH451:AR451" si="185">AH259+AH427</f>
        <v>270</v>
      </c>
      <c r="AI451" s="1267">
        <f t="shared" si="185"/>
        <v>164</v>
      </c>
      <c r="AJ451" s="1267">
        <f t="shared" si="185"/>
        <v>101</v>
      </c>
      <c r="AK451" s="1266">
        <f t="shared" si="185"/>
        <v>0</v>
      </c>
      <c r="AL451" s="1266">
        <f t="shared" si="185"/>
        <v>63</v>
      </c>
      <c r="AM451" s="1266">
        <f t="shared" si="185"/>
        <v>46</v>
      </c>
      <c r="AN451" s="1266">
        <f t="shared" si="185"/>
        <v>48</v>
      </c>
      <c r="AO451" s="1266">
        <f t="shared" si="185"/>
        <v>139</v>
      </c>
      <c r="AP451" s="1266">
        <f t="shared" si="185"/>
        <v>139</v>
      </c>
      <c r="AQ451" s="1266">
        <f t="shared" si="185"/>
        <v>41</v>
      </c>
      <c r="AR451" s="1266">
        <f t="shared" si="185"/>
        <v>59</v>
      </c>
    </row>
    <row r="452" spans="1:44" s="7" customFormat="1" x14ac:dyDescent="0.2">
      <c r="A452" s="1202"/>
      <c r="B452" s="102" t="str">
        <f>IF(P$442=1,"50% / 50%","")</f>
        <v/>
      </c>
      <c r="D452" s="1660">
        <v>1</v>
      </c>
      <c r="E452" s="37" t="str">
        <f>IF(P$451=D452,1,"x")</f>
        <v>x</v>
      </c>
      <c r="F452" s="271"/>
      <c r="G452" s="277"/>
      <c r="V452" s="8"/>
      <c r="X452" s="8"/>
      <c r="Y452" s="8"/>
      <c r="Z452" s="8"/>
      <c r="AA452" s="8"/>
      <c r="AB452" s="8"/>
      <c r="AC452" s="8"/>
      <c r="AH452" s="1240">
        <f>AH451/SUM($AH$451:$AJ$451)</f>
        <v>0.50467289719626163</v>
      </c>
      <c r="AI452" s="1240">
        <f>AI451/SUM($AH$451:$AJ$451)</f>
        <v>0.30654205607476637</v>
      </c>
      <c r="AJ452" s="1240">
        <f>AJ451/SUM($AH$451:$AJ$451)</f>
        <v>0.18878504672897195</v>
      </c>
      <c r="AK452" s="1241">
        <f t="shared" ref="AK452:AR452" si="186">AK451/SUM($AK$451:$AR$451)</f>
        <v>0</v>
      </c>
      <c r="AL452" s="1241">
        <f t="shared" si="186"/>
        <v>0.11775700934579439</v>
      </c>
      <c r="AM452" s="1241">
        <f t="shared" si="186"/>
        <v>8.5981308411214957E-2</v>
      </c>
      <c r="AN452" s="1241">
        <f t="shared" si="186"/>
        <v>8.9719626168224292E-2</v>
      </c>
      <c r="AO452" s="1241">
        <f t="shared" si="186"/>
        <v>0.25981308411214954</v>
      </c>
      <c r="AP452" s="1241">
        <f t="shared" si="186"/>
        <v>0.25981308411214954</v>
      </c>
      <c r="AQ452" s="1241">
        <f t="shared" si="186"/>
        <v>7.6635514018691592E-2</v>
      </c>
      <c r="AR452" s="1241">
        <f t="shared" si="186"/>
        <v>0.1102803738317757</v>
      </c>
    </row>
    <row r="453" spans="1:44" s="7" customFormat="1" x14ac:dyDescent="0.2">
      <c r="A453" s="1202"/>
      <c r="B453" s="102" t="str">
        <f>IF(P$442=1,"Plus de 60% pour vous","")</f>
        <v/>
      </c>
      <c r="D453" s="1660">
        <v>2</v>
      </c>
      <c r="E453" s="37" t="str">
        <f t="shared" ref="E453:E455" si="187">IF(P$451=D453,1,"x")</f>
        <v>x</v>
      </c>
      <c r="F453" s="271"/>
      <c r="G453" s="277"/>
      <c r="H453" s="41"/>
      <c r="I453" s="41"/>
      <c r="J453" s="41"/>
      <c r="K453" s="41"/>
      <c r="L453" s="41"/>
      <c r="M453" s="41"/>
      <c r="N453" s="41"/>
      <c r="O453" s="41"/>
      <c r="P453" s="41"/>
      <c r="Q453" s="41"/>
      <c r="R453" s="41"/>
      <c r="S453" s="41"/>
      <c r="T453" s="41"/>
      <c r="U453" s="41"/>
      <c r="V453" s="498"/>
      <c r="W453" s="41"/>
      <c r="X453" s="8"/>
      <c r="Y453" s="8"/>
      <c r="Z453" s="8"/>
      <c r="AA453" s="8"/>
      <c r="AB453" s="8"/>
      <c r="AC453" s="8"/>
    </row>
    <row r="454" spans="1:44" s="7" customFormat="1" x14ac:dyDescent="0.2">
      <c r="A454" s="1202"/>
      <c r="B454" s="102" t="str">
        <f>IF(P$442=1,"Moins de 40% pour vous","")</f>
        <v/>
      </c>
      <c r="D454" s="1660">
        <v>3</v>
      </c>
      <c r="E454" s="37" t="str">
        <f t="shared" si="187"/>
        <v>x</v>
      </c>
      <c r="F454" s="271"/>
      <c r="G454" s="277"/>
      <c r="H454" s="40"/>
      <c r="I454" s="40"/>
      <c r="J454" s="40"/>
      <c r="K454" s="40"/>
      <c r="L454" s="40"/>
      <c r="M454" s="40"/>
      <c r="N454" s="40"/>
      <c r="O454" s="40"/>
      <c r="P454" s="40"/>
      <c r="Q454" s="40"/>
      <c r="R454" s="40"/>
      <c r="S454" s="40"/>
      <c r="T454" s="40"/>
      <c r="U454" s="40"/>
      <c r="V454" s="273"/>
      <c r="W454" s="40"/>
      <c r="X454" s="8"/>
      <c r="Y454" s="8"/>
      <c r="Z454" s="8"/>
      <c r="AA454" s="8"/>
      <c r="AB454" s="8"/>
      <c r="AC454" s="8"/>
    </row>
    <row r="455" spans="1:44" s="7" customFormat="1" ht="24" x14ac:dyDescent="0.2">
      <c r="A455" s="1202"/>
      <c r="B455" s="102" t="str">
        <f>IF(P$442=1,"Fin de semaine seulement pour vous","")</f>
        <v/>
      </c>
      <c r="D455" s="1660">
        <v>4</v>
      </c>
      <c r="E455" s="37" t="str">
        <f t="shared" si="187"/>
        <v>x</v>
      </c>
      <c r="F455" s="271"/>
      <c r="G455" s="277"/>
      <c r="H455" s="40"/>
      <c r="I455" s="40"/>
      <c r="J455" s="40"/>
      <c r="K455" s="40"/>
      <c r="L455" s="40"/>
      <c r="M455" s="40"/>
      <c r="N455" s="40"/>
      <c r="O455" s="40"/>
      <c r="P455" s="40"/>
      <c r="Q455" s="40"/>
      <c r="R455" s="40"/>
      <c r="S455" s="40"/>
      <c r="T455" s="40"/>
      <c r="U455" s="40"/>
      <c r="V455" s="273"/>
      <c r="W455" s="40"/>
      <c r="X455" s="8"/>
      <c r="Y455" s="8"/>
      <c r="Z455" s="8"/>
      <c r="AA455" s="8"/>
      <c r="AB455" s="8"/>
      <c r="AC455" s="8"/>
      <c r="AH455" s="2489" t="s">
        <v>1037</v>
      </c>
      <c r="AI455" s="2489"/>
      <c r="AJ455" s="2489"/>
      <c r="AK455" s="2489"/>
      <c r="AL455" s="2489"/>
      <c r="AM455" s="2489"/>
      <c r="AN455" s="2489"/>
      <c r="AO455" s="2489"/>
      <c r="AP455" s="2489"/>
      <c r="AQ455" s="2489"/>
      <c r="AR455" s="2489"/>
    </row>
    <row r="456" spans="1:44" s="7" customFormat="1" x14ac:dyDescent="0.2">
      <c r="A456" s="1202"/>
      <c r="B456" s="102" t="str">
        <f>IF(P$442=1,"Autre (veuillez préciser)","")</f>
        <v/>
      </c>
      <c r="D456" s="1660">
        <v>5</v>
      </c>
      <c r="E456" s="1556" t="s">
        <v>1169</v>
      </c>
      <c r="F456" s="271"/>
      <c r="G456" s="277" t="s">
        <v>752</v>
      </c>
      <c r="H456" s="41"/>
      <c r="I456" s="41"/>
      <c r="J456" s="41"/>
      <c r="K456" s="41"/>
      <c r="L456" s="41"/>
      <c r="M456" s="41"/>
      <c r="N456" s="41"/>
      <c r="O456" s="41"/>
      <c r="P456" s="41"/>
      <c r="Q456" s="41"/>
      <c r="R456" s="41"/>
      <c r="S456" s="41"/>
      <c r="T456" s="41"/>
      <c r="U456" s="41"/>
      <c r="V456" s="498"/>
      <c r="W456" s="41"/>
      <c r="X456" s="8"/>
      <c r="Y456" s="8"/>
      <c r="Z456" s="8"/>
      <c r="AA456" s="8"/>
      <c r="AB456" s="8"/>
      <c r="AC456" s="8"/>
      <c r="AH456" s="2488" t="s">
        <v>1038</v>
      </c>
      <c r="AI456" s="2488"/>
      <c r="AJ456" s="2488"/>
      <c r="AK456" s="2488" t="s">
        <v>681</v>
      </c>
      <c r="AL456" s="2488"/>
      <c r="AM456" s="2488"/>
      <c r="AN456" s="2488"/>
      <c r="AO456" s="2488"/>
      <c r="AP456" s="2488"/>
      <c r="AQ456" s="2488"/>
      <c r="AR456" s="2488"/>
    </row>
    <row r="457" spans="1:44" s="7" customFormat="1" ht="51" x14ac:dyDescent="0.2">
      <c r="A457" s="1203" t="str">
        <f>BIBLE!E244</f>
        <v>S04</v>
      </c>
      <c r="B457" s="25" t="str">
        <f>BIBLE!F244</f>
        <v xml:space="preserve">Durant l’enfance et avant 14 ans, est-ce que vous et/ou votre ex-conjoint·e (coparent) avez vécu l’une des situations familiales suivantes? Cochez les réponses qui s'appliquent. </v>
      </c>
      <c r="D457" s="815"/>
      <c r="E457" s="41"/>
      <c r="F457" s="263"/>
      <c r="G457" s="41"/>
      <c r="H457" s="41"/>
      <c r="I457" s="41"/>
      <c r="J457" s="41"/>
      <c r="K457" s="41"/>
      <c r="L457" s="41"/>
      <c r="M457" s="41"/>
      <c r="N457" s="41"/>
      <c r="O457" s="1570" t="s">
        <v>1296</v>
      </c>
      <c r="P457" s="5">
        <f>SUM(P458:P467)</f>
        <v>1</v>
      </c>
      <c r="Q457" s="41"/>
      <c r="R457" s="41"/>
      <c r="S457" s="41"/>
      <c r="T457" s="41"/>
      <c r="U457" s="41"/>
      <c r="V457" s="498"/>
      <c r="W457" s="41"/>
      <c r="X457" s="8"/>
      <c r="Y457" s="8"/>
      <c r="Z457" s="8"/>
      <c r="AA457" s="8"/>
      <c r="AB457" s="8"/>
      <c r="AC457" s="8"/>
      <c r="AH457" s="1267">
        <f t="shared" ref="AH457:AR457" si="188">AH380</f>
        <v>88.5</v>
      </c>
      <c r="AI457" s="1267">
        <f t="shared" si="188"/>
        <v>69</v>
      </c>
      <c r="AJ457" s="1267">
        <f t="shared" si="188"/>
        <v>10.5</v>
      </c>
      <c r="AK457" s="1266">
        <f t="shared" si="188"/>
        <v>6</v>
      </c>
      <c r="AL457" s="1266">
        <f t="shared" si="188"/>
        <v>1</v>
      </c>
      <c r="AM457" s="1266">
        <f t="shared" si="188"/>
        <v>15</v>
      </c>
      <c r="AN457" s="1266">
        <f t="shared" si="188"/>
        <v>21</v>
      </c>
      <c r="AO457" s="1266">
        <f t="shared" si="188"/>
        <v>31</v>
      </c>
      <c r="AP457" s="1266">
        <f t="shared" si="188"/>
        <v>22</v>
      </c>
      <c r="AQ457" s="1266">
        <f t="shared" si="188"/>
        <v>42</v>
      </c>
      <c r="AR457" s="1266">
        <f t="shared" si="188"/>
        <v>30</v>
      </c>
    </row>
    <row r="458" spans="1:44" ht="17" x14ac:dyDescent="0.2">
      <c r="A458" s="2513"/>
      <c r="B458" s="54" t="s">
        <v>429</v>
      </c>
      <c r="D458" s="1458">
        <v>1</v>
      </c>
      <c r="E458" s="1627">
        <f>'TEST_pour PROTOTYPE'!D402</f>
        <v>0</v>
      </c>
      <c r="F458" s="270"/>
      <c r="G458" s="40"/>
      <c r="H458" s="40"/>
      <c r="I458" s="40"/>
      <c r="J458" s="40"/>
      <c r="K458" s="40"/>
      <c r="L458" s="40"/>
      <c r="M458" s="40"/>
      <c r="N458" s="40"/>
      <c r="O458" s="40"/>
      <c r="P458" s="1654">
        <f>D458*E458</f>
        <v>0</v>
      </c>
      <c r="Q458" s="40"/>
      <c r="R458" s="40"/>
      <c r="S458" s="40"/>
      <c r="T458" s="40"/>
      <c r="U458" s="40"/>
      <c r="V458" s="273"/>
      <c r="W458" s="40"/>
      <c r="AH458" s="1240">
        <f>AH457/SUM($AH$457:$AJ$457)</f>
        <v>0.5267857142857143</v>
      </c>
      <c r="AI458" s="1240">
        <f>AI457/SUM($AH$457:$AJ$457)</f>
        <v>0.4107142857142857</v>
      </c>
      <c r="AJ458" s="1240">
        <f>AJ457/SUM($AH$457:$AJ$457)</f>
        <v>6.25E-2</v>
      </c>
      <c r="AK458" s="1241">
        <f t="shared" ref="AK458:AR458" si="189">AK457/SUM($AK$457:$AR$457)</f>
        <v>3.5714285714285712E-2</v>
      </c>
      <c r="AL458" s="1241">
        <f t="shared" si="189"/>
        <v>5.9523809523809521E-3</v>
      </c>
      <c r="AM458" s="1241">
        <f t="shared" si="189"/>
        <v>8.9285714285714288E-2</v>
      </c>
      <c r="AN458" s="1241">
        <f t="shared" si="189"/>
        <v>0.125</v>
      </c>
      <c r="AO458" s="1241">
        <f t="shared" si="189"/>
        <v>0.18452380952380953</v>
      </c>
      <c r="AP458" s="1241">
        <f t="shared" si="189"/>
        <v>0.13095238095238096</v>
      </c>
      <c r="AQ458" s="1241">
        <f t="shared" si="189"/>
        <v>0.25</v>
      </c>
      <c r="AR458" s="1241">
        <f t="shared" si="189"/>
        <v>0.17857142857142858</v>
      </c>
    </row>
    <row r="459" spans="1:44" ht="17" x14ac:dyDescent="0.2">
      <c r="A459" s="2513"/>
      <c r="B459" s="54" t="s">
        <v>428</v>
      </c>
      <c r="D459" s="1458">
        <v>1</v>
      </c>
      <c r="E459" s="1627">
        <f>'TEST_pour PROTOTYPE'!D403</f>
        <v>0</v>
      </c>
      <c r="F459" s="270"/>
      <c r="G459" s="40"/>
      <c r="H459" s="40"/>
      <c r="I459" s="40"/>
      <c r="J459" s="40"/>
      <c r="K459" s="40"/>
      <c r="L459" s="40"/>
      <c r="M459" s="40"/>
      <c r="N459" s="40"/>
      <c r="O459" s="40"/>
      <c r="P459" s="1654">
        <f t="shared" ref="P459:P466" si="190">D459*E459</f>
        <v>0</v>
      </c>
      <c r="Q459" s="40"/>
      <c r="R459" s="40"/>
      <c r="S459" s="40"/>
      <c r="T459" s="40"/>
      <c r="U459" s="40"/>
      <c r="V459" s="273"/>
      <c r="W459" s="40"/>
    </row>
    <row r="460" spans="1:44" ht="17" x14ac:dyDescent="0.2">
      <c r="A460" s="1203"/>
      <c r="B460" s="54" t="s">
        <v>1502</v>
      </c>
      <c r="D460" s="1458">
        <v>1</v>
      </c>
      <c r="E460" s="1627">
        <f>'TEST_pour PROTOTYPE'!D404</f>
        <v>0</v>
      </c>
      <c r="F460" s="263"/>
      <c r="G460" s="41"/>
      <c r="H460" s="41"/>
      <c r="I460" s="41"/>
      <c r="J460" s="41"/>
      <c r="K460" s="41"/>
      <c r="L460" s="41"/>
      <c r="M460" s="41"/>
      <c r="N460" s="41"/>
      <c r="O460" s="41"/>
      <c r="P460" s="1654">
        <f t="shared" si="190"/>
        <v>0</v>
      </c>
      <c r="Q460" s="41"/>
      <c r="R460" s="41"/>
      <c r="S460" s="41"/>
      <c r="T460" s="41"/>
      <c r="U460" s="41"/>
      <c r="V460" s="498"/>
      <c r="W460" s="41"/>
    </row>
    <row r="461" spans="1:44" ht="34" x14ac:dyDescent="0.2">
      <c r="A461" s="1203"/>
      <c r="B461" s="54" t="s">
        <v>1503</v>
      </c>
      <c r="D461" s="1458">
        <v>1</v>
      </c>
      <c r="E461" s="1627">
        <f>'TEST_pour PROTOTYPE'!D405</f>
        <v>0</v>
      </c>
      <c r="F461" s="263"/>
      <c r="G461" s="41"/>
      <c r="H461" s="41"/>
      <c r="I461" s="41"/>
      <c r="J461" s="41"/>
      <c r="K461" s="41"/>
      <c r="L461" s="41"/>
      <c r="M461" s="41"/>
      <c r="N461" s="41"/>
      <c r="O461" s="41"/>
      <c r="P461" s="1654">
        <f t="shared" si="190"/>
        <v>0</v>
      </c>
      <c r="Q461" s="41"/>
      <c r="R461" s="41"/>
      <c r="S461" s="41"/>
      <c r="T461" s="41"/>
      <c r="U461" s="41"/>
      <c r="V461" s="498"/>
      <c r="W461" s="41"/>
    </row>
    <row r="462" spans="1:44" ht="34" x14ac:dyDescent="0.2">
      <c r="A462" s="1203"/>
      <c r="B462" s="54" t="s">
        <v>1504</v>
      </c>
      <c r="D462" s="1458">
        <v>1</v>
      </c>
      <c r="E462" s="1627">
        <f>'TEST_pour PROTOTYPE'!D406</f>
        <v>0</v>
      </c>
      <c r="F462" s="263"/>
      <c r="G462" s="41"/>
      <c r="H462" s="41"/>
      <c r="I462" s="41"/>
      <c r="J462" s="41"/>
      <c r="K462" s="41"/>
      <c r="L462" s="41"/>
      <c r="M462" s="41"/>
      <c r="N462" s="41"/>
      <c r="O462" s="41"/>
      <c r="P462" s="1654">
        <f t="shared" si="190"/>
        <v>0</v>
      </c>
      <c r="Q462" s="41"/>
      <c r="R462" s="41"/>
      <c r="S462" s="41"/>
      <c r="T462" s="41"/>
      <c r="U462" s="41"/>
      <c r="V462" s="498"/>
      <c r="W462" s="41"/>
    </row>
    <row r="463" spans="1:44" ht="17" x14ac:dyDescent="0.2">
      <c r="A463" s="1203"/>
      <c r="B463" s="54" t="s">
        <v>1505</v>
      </c>
      <c r="D463" s="1458">
        <v>1</v>
      </c>
      <c r="E463" s="1627">
        <f>'TEST_pour PROTOTYPE'!D407</f>
        <v>0</v>
      </c>
      <c r="F463" s="263"/>
      <c r="G463" s="41"/>
      <c r="H463" s="41"/>
      <c r="I463" s="41"/>
      <c r="J463" s="41"/>
      <c r="K463" s="41"/>
      <c r="L463" s="41"/>
      <c r="M463" s="41"/>
      <c r="N463" s="41"/>
      <c r="O463" s="41"/>
      <c r="P463" s="1654">
        <f t="shared" si="190"/>
        <v>0</v>
      </c>
      <c r="Q463" s="41"/>
      <c r="R463" s="41"/>
      <c r="S463" s="41"/>
      <c r="T463" s="41"/>
      <c r="U463" s="41"/>
      <c r="V463" s="498"/>
      <c r="W463" s="41"/>
    </row>
    <row r="464" spans="1:44" ht="17" x14ac:dyDescent="0.2">
      <c r="A464" s="1203"/>
      <c r="B464" s="54" t="s">
        <v>1506</v>
      </c>
      <c r="D464" s="1458">
        <v>1</v>
      </c>
      <c r="E464" s="1627">
        <f>'TEST_pour PROTOTYPE'!D408</f>
        <v>0</v>
      </c>
      <c r="F464" s="263"/>
      <c r="G464" s="41"/>
      <c r="H464" s="41"/>
      <c r="I464" s="41"/>
      <c r="J464" s="41"/>
      <c r="K464" s="41"/>
      <c r="L464" s="41"/>
      <c r="M464" s="41"/>
      <c r="N464" s="41"/>
      <c r="O464" s="41"/>
      <c r="P464" s="1654">
        <f t="shared" si="190"/>
        <v>0</v>
      </c>
      <c r="Q464" s="41"/>
      <c r="R464" s="41"/>
      <c r="S464" s="41"/>
      <c r="T464" s="41"/>
      <c r="U464" s="41"/>
      <c r="V464" s="498"/>
      <c r="W464" s="41"/>
    </row>
    <row r="465" spans="1:23" ht="34" x14ac:dyDescent="0.2">
      <c r="A465" s="1203"/>
      <c r="B465" s="54" t="s">
        <v>1507</v>
      </c>
      <c r="D465" s="1458">
        <v>1</v>
      </c>
      <c r="E465" s="1627">
        <f>'TEST_pour PROTOTYPE'!D409</f>
        <v>0</v>
      </c>
      <c r="F465" s="263"/>
      <c r="G465" s="41"/>
      <c r="H465" s="41"/>
      <c r="I465" s="41"/>
      <c r="J465" s="41"/>
      <c r="K465" s="41"/>
      <c r="L465" s="41"/>
      <c r="M465" s="41"/>
      <c r="N465" s="41"/>
      <c r="O465" s="41"/>
      <c r="P465" s="1654">
        <f t="shared" si="190"/>
        <v>0</v>
      </c>
      <c r="Q465" s="41"/>
      <c r="R465" s="41"/>
      <c r="S465" s="41"/>
      <c r="T465" s="41"/>
      <c r="U465" s="41"/>
      <c r="V465" s="498"/>
      <c r="W465" s="41"/>
    </row>
    <row r="466" spans="1:23" ht="17" x14ac:dyDescent="0.2">
      <c r="A466" s="2513"/>
      <c r="B466" s="54" t="s">
        <v>1508</v>
      </c>
      <c r="D466" s="1458">
        <v>1</v>
      </c>
      <c r="E466" s="1627">
        <f>'TEST_pour PROTOTYPE'!D410</f>
        <v>1</v>
      </c>
      <c r="F466" s="270"/>
      <c r="G466" s="40"/>
      <c r="H466" s="40"/>
      <c r="I466" s="40"/>
      <c r="J466" s="40"/>
      <c r="K466" s="40"/>
      <c r="L466" s="40"/>
      <c r="M466" s="40"/>
      <c r="N466" s="40"/>
      <c r="O466" s="40"/>
      <c r="P466" s="1654">
        <f t="shared" si="190"/>
        <v>1</v>
      </c>
      <c r="Q466" s="40"/>
      <c r="R466" s="40"/>
      <c r="S466" s="40"/>
      <c r="T466" s="40"/>
      <c r="U466" s="40"/>
      <c r="V466" s="273"/>
      <c r="W466" s="40"/>
    </row>
    <row r="467" spans="1:23" ht="17" x14ac:dyDescent="0.2">
      <c r="A467" s="2513"/>
      <c r="B467" s="54" t="s">
        <v>430</v>
      </c>
      <c r="D467" s="1388" t="s">
        <v>1169</v>
      </c>
      <c r="E467" s="270"/>
      <c r="F467" s="270"/>
      <c r="G467" s="277" t="s">
        <v>752</v>
      </c>
      <c r="H467" s="40"/>
      <c r="I467" s="40"/>
      <c r="J467" s="40"/>
      <c r="K467" s="40"/>
      <c r="L467" s="40"/>
      <c r="M467" s="40"/>
      <c r="N467" s="40"/>
      <c r="O467" s="40"/>
      <c r="P467" s="1654"/>
      <c r="Q467" s="40"/>
      <c r="R467" s="40"/>
      <c r="S467" s="40"/>
      <c r="T467" s="40"/>
      <c r="U467" s="40"/>
      <c r="V467" s="273"/>
      <c r="W467" s="40"/>
    </row>
    <row r="468" spans="1:23" x14ac:dyDescent="0.2">
      <c r="A468" s="1204"/>
      <c r="D468" s="1388"/>
      <c r="E468" s="267"/>
    </row>
    <row r="473" spans="1:23" x14ac:dyDescent="0.2">
      <c r="A473" s="41"/>
      <c r="C473" s="41"/>
      <c r="D473" s="263"/>
      <c r="E473" s="41"/>
      <c r="F473" s="41"/>
      <c r="G473" s="41"/>
      <c r="H473" s="41"/>
      <c r="I473" s="41"/>
      <c r="J473" s="41"/>
      <c r="K473" s="41"/>
      <c r="L473" s="41"/>
      <c r="M473" s="41"/>
      <c r="N473" s="41"/>
      <c r="O473" s="41"/>
      <c r="P473" s="41"/>
      <c r="Q473" s="41"/>
      <c r="R473" s="41"/>
      <c r="S473" s="41"/>
      <c r="T473" s="41"/>
      <c r="U473" s="41"/>
      <c r="V473" s="498"/>
      <c r="W473" s="41"/>
    </row>
    <row r="474" spans="1:23" x14ac:dyDescent="0.2">
      <c r="A474" s="41"/>
      <c r="C474" s="41"/>
      <c r="D474" s="263"/>
      <c r="E474" s="41"/>
      <c r="F474" s="41"/>
      <c r="G474" s="41"/>
      <c r="H474" s="41"/>
      <c r="I474" s="41"/>
      <c r="J474" s="41"/>
      <c r="K474" s="41"/>
      <c r="L474" s="41"/>
      <c r="M474" s="41"/>
      <c r="N474" s="41"/>
      <c r="O474" s="41"/>
      <c r="P474" s="41"/>
      <c r="Q474" s="41"/>
      <c r="R474" s="41"/>
      <c r="S474" s="41"/>
      <c r="T474" s="41"/>
      <c r="U474" s="41"/>
      <c r="V474" s="498"/>
      <c r="W474" s="41"/>
    </row>
    <row r="475" spans="1:23" x14ac:dyDescent="0.2">
      <c r="A475" s="41"/>
      <c r="C475" s="41"/>
      <c r="D475" s="263"/>
      <c r="E475" s="41"/>
      <c r="F475" s="41"/>
      <c r="G475" s="41"/>
      <c r="H475" s="41"/>
      <c r="I475" s="41"/>
      <c r="J475" s="41"/>
      <c r="K475" s="41"/>
      <c r="L475" s="41"/>
      <c r="M475" s="41"/>
      <c r="N475" s="41"/>
      <c r="O475" s="41"/>
      <c r="P475" s="41"/>
      <c r="Q475" s="41"/>
      <c r="R475" s="41"/>
      <c r="S475" s="41"/>
      <c r="T475" s="41"/>
      <c r="U475" s="41"/>
      <c r="V475" s="498"/>
      <c r="W475" s="41"/>
    </row>
    <row r="476" spans="1:23" x14ac:dyDescent="0.2">
      <c r="A476" s="41"/>
      <c r="C476" s="41"/>
      <c r="D476" s="263"/>
      <c r="E476" s="41"/>
      <c r="F476" s="41"/>
      <c r="G476" s="41"/>
      <c r="H476" s="41"/>
      <c r="I476" s="41"/>
      <c r="J476" s="41"/>
      <c r="K476" s="41"/>
      <c r="L476" s="41"/>
      <c r="M476" s="41"/>
      <c r="N476" s="41"/>
      <c r="O476" s="41"/>
      <c r="P476" s="41"/>
      <c r="Q476" s="41"/>
      <c r="R476" s="41"/>
      <c r="S476" s="41"/>
      <c r="T476" s="41"/>
      <c r="U476" s="41"/>
      <c r="V476" s="498"/>
      <c r="W476" s="41"/>
    </row>
    <row r="477" spans="1:23" x14ac:dyDescent="0.2">
      <c r="A477" s="41"/>
      <c r="C477" s="41"/>
      <c r="D477" s="263"/>
      <c r="E477" s="41"/>
      <c r="F477" s="41"/>
      <c r="G477" s="41"/>
      <c r="H477" s="41"/>
      <c r="I477" s="41"/>
      <c r="J477" s="41"/>
      <c r="K477" s="41"/>
      <c r="L477" s="41"/>
      <c r="M477" s="41"/>
      <c r="N477" s="41"/>
      <c r="O477" s="41"/>
      <c r="P477" s="41"/>
      <c r="Q477" s="41"/>
      <c r="R477" s="41"/>
      <c r="S477" s="41"/>
      <c r="T477" s="41"/>
      <c r="U477" s="41"/>
      <c r="V477" s="498"/>
      <c r="W477" s="41"/>
    </row>
    <row r="478" spans="1:23" x14ac:dyDescent="0.2">
      <c r="A478" s="41"/>
      <c r="C478" s="41"/>
      <c r="D478" s="263"/>
      <c r="E478" s="41"/>
      <c r="F478" s="41"/>
      <c r="G478" s="41"/>
      <c r="H478" s="41"/>
      <c r="I478" s="41"/>
      <c r="J478" s="41"/>
      <c r="K478" s="41"/>
      <c r="L478" s="41"/>
      <c r="M478" s="41"/>
      <c r="N478" s="41"/>
      <c r="O478" s="41"/>
      <c r="P478" s="41"/>
      <c r="Q478" s="41"/>
      <c r="R478" s="41"/>
      <c r="S478" s="41"/>
      <c r="T478" s="41"/>
      <c r="U478" s="41"/>
      <c r="V478" s="498"/>
      <c r="W478" s="41"/>
    </row>
    <row r="479" spans="1:23" x14ac:dyDescent="0.2">
      <c r="A479" s="41"/>
      <c r="C479" s="41"/>
      <c r="D479" s="263"/>
      <c r="E479" s="41"/>
      <c r="F479" s="41"/>
      <c r="G479" s="41"/>
      <c r="H479" s="41"/>
      <c r="I479" s="41"/>
      <c r="J479" s="41"/>
      <c r="K479" s="41"/>
      <c r="L479" s="41"/>
      <c r="M479" s="41"/>
      <c r="N479" s="41"/>
      <c r="O479" s="41"/>
      <c r="P479" s="41"/>
      <c r="Q479" s="41"/>
      <c r="R479" s="41"/>
      <c r="S479" s="41"/>
      <c r="T479" s="41"/>
      <c r="U479" s="41"/>
      <c r="V479" s="498"/>
      <c r="W479" s="41"/>
    </row>
    <row r="480" spans="1:23" x14ac:dyDescent="0.2">
      <c r="A480" s="41"/>
      <c r="C480" s="41"/>
      <c r="D480" s="263"/>
      <c r="E480" s="41"/>
      <c r="F480" s="41"/>
      <c r="G480" s="41"/>
      <c r="H480" s="41"/>
      <c r="I480" s="41"/>
      <c r="J480" s="41"/>
      <c r="K480" s="41"/>
      <c r="L480" s="41"/>
      <c r="M480" s="41"/>
      <c r="N480" s="41"/>
      <c r="O480" s="41"/>
      <c r="P480" s="41"/>
      <c r="Q480" s="41"/>
      <c r="R480" s="41"/>
      <c r="S480" s="41"/>
      <c r="T480" s="41"/>
      <c r="U480" s="41"/>
      <c r="V480" s="498"/>
      <c r="W480" s="41"/>
    </row>
    <row r="481" spans="1:23" x14ac:dyDescent="0.2">
      <c r="A481" s="41"/>
      <c r="C481" s="41"/>
      <c r="D481" s="263"/>
      <c r="E481" s="41"/>
      <c r="F481" s="41"/>
      <c r="G481" s="41"/>
      <c r="H481" s="41"/>
      <c r="I481" s="41"/>
      <c r="J481" s="41"/>
      <c r="K481" s="41"/>
      <c r="L481" s="41"/>
      <c r="M481" s="41"/>
      <c r="N481" s="41"/>
      <c r="O481" s="41"/>
      <c r="P481" s="41"/>
      <c r="Q481" s="41"/>
      <c r="R481" s="41"/>
      <c r="S481" s="41"/>
      <c r="T481" s="41"/>
      <c r="U481" s="41"/>
      <c r="V481" s="498"/>
      <c r="W481" s="41"/>
    </row>
    <row r="482" spans="1:23" x14ac:dyDescent="0.2">
      <c r="A482" s="41"/>
      <c r="C482" s="41"/>
      <c r="D482" s="263"/>
      <c r="E482" s="41"/>
      <c r="F482" s="41"/>
      <c r="G482" s="41"/>
      <c r="H482" s="41"/>
      <c r="I482" s="41"/>
      <c r="J482" s="41"/>
      <c r="K482" s="41"/>
      <c r="L482" s="41"/>
      <c r="M482" s="41"/>
      <c r="N482" s="41"/>
      <c r="O482" s="41"/>
      <c r="P482" s="41"/>
      <c r="Q482" s="41"/>
      <c r="R482" s="41"/>
      <c r="S482" s="41"/>
      <c r="T482" s="41"/>
      <c r="U482" s="41"/>
      <c r="V482" s="498"/>
      <c r="W482" s="41"/>
    </row>
    <row r="483" spans="1:23" x14ac:dyDescent="0.2">
      <c r="A483" s="41"/>
      <c r="C483" s="41"/>
      <c r="D483" s="263"/>
      <c r="E483" s="41"/>
      <c r="F483" s="41"/>
      <c r="G483" s="41"/>
      <c r="H483" s="41"/>
      <c r="I483" s="41"/>
      <c r="J483" s="41"/>
      <c r="K483" s="41"/>
      <c r="L483" s="41"/>
      <c r="M483" s="41"/>
      <c r="N483" s="41"/>
      <c r="O483" s="41"/>
      <c r="P483" s="41"/>
      <c r="Q483" s="41"/>
      <c r="R483" s="41"/>
      <c r="S483" s="41"/>
      <c r="T483" s="41"/>
      <c r="U483" s="41"/>
      <c r="V483" s="498"/>
      <c r="W483" s="41"/>
    </row>
    <row r="484" spans="1:23" x14ac:dyDescent="0.2">
      <c r="A484" s="41"/>
      <c r="C484" s="41"/>
      <c r="D484" s="263"/>
      <c r="E484" s="41"/>
      <c r="F484" s="41"/>
      <c r="G484" s="41"/>
      <c r="H484" s="41"/>
      <c r="I484" s="41"/>
      <c r="J484" s="41"/>
      <c r="K484" s="41"/>
      <c r="L484" s="41"/>
      <c r="M484" s="41"/>
      <c r="N484" s="41"/>
      <c r="O484" s="41"/>
      <c r="P484" s="41"/>
      <c r="Q484" s="41"/>
      <c r="R484" s="41"/>
      <c r="S484" s="41"/>
      <c r="T484" s="41"/>
      <c r="U484" s="41"/>
      <c r="V484" s="498"/>
      <c r="W484" s="41"/>
    </row>
    <row r="485" spans="1:23" x14ac:dyDescent="0.2">
      <c r="A485" s="41"/>
      <c r="C485" s="41"/>
      <c r="D485" s="263"/>
      <c r="E485" s="41"/>
      <c r="F485" s="41"/>
      <c r="G485" s="41"/>
      <c r="H485" s="41"/>
      <c r="I485" s="41"/>
      <c r="J485" s="41"/>
      <c r="K485" s="41"/>
      <c r="L485" s="41"/>
      <c r="M485" s="41"/>
      <c r="N485" s="41"/>
      <c r="O485" s="41"/>
      <c r="P485" s="41"/>
      <c r="Q485" s="41"/>
      <c r="R485" s="41"/>
      <c r="S485" s="41"/>
      <c r="T485" s="41"/>
      <c r="U485" s="41"/>
      <c r="V485" s="498"/>
      <c r="W485" s="41"/>
    </row>
    <row r="486" spans="1:23" x14ac:dyDescent="0.2">
      <c r="A486" s="41"/>
      <c r="C486" s="41"/>
      <c r="D486" s="263"/>
      <c r="E486" s="41"/>
      <c r="F486" s="41"/>
      <c r="G486" s="41"/>
      <c r="H486" s="41"/>
      <c r="I486" s="41"/>
      <c r="J486" s="41"/>
      <c r="K486" s="41"/>
      <c r="L486" s="41"/>
      <c r="M486" s="41"/>
      <c r="N486" s="41"/>
      <c r="O486" s="41"/>
      <c r="P486" s="41"/>
      <c r="Q486" s="41"/>
      <c r="R486" s="41"/>
      <c r="S486" s="41"/>
      <c r="T486" s="41"/>
      <c r="U486" s="41"/>
      <c r="V486" s="498"/>
      <c r="W486" s="41"/>
    </row>
  </sheetData>
  <mergeCells count="39">
    <mergeCell ref="E50:O50"/>
    <mergeCell ref="A458:A459"/>
    <mergeCell ref="A466:A467"/>
    <mergeCell ref="E96:K96"/>
    <mergeCell ref="C274:C277"/>
    <mergeCell ref="B152:B153"/>
    <mergeCell ref="B167:B168"/>
    <mergeCell ref="B408:B409"/>
    <mergeCell ref="A117:A118"/>
    <mergeCell ref="A120:A122"/>
    <mergeCell ref="E108:K108"/>
    <mergeCell ref="AE88:AE94"/>
    <mergeCell ref="AJ89:AJ94"/>
    <mergeCell ref="AH89:AH94"/>
    <mergeCell ref="AI89:AI94"/>
    <mergeCell ref="AH88:AJ88"/>
    <mergeCell ref="AF88:AF94"/>
    <mergeCell ref="AP89:AP94"/>
    <mergeCell ref="AQ89:AQ94"/>
    <mergeCell ref="AR89:AR94"/>
    <mergeCell ref="AK88:AR88"/>
    <mergeCell ref="AH430:AR430"/>
    <mergeCell ref="AK89:AK94"/>
    <mergeCell ref="AL89:AL94"/>
    <mergeCell ref="AM89:AM94"/>
    <mergeCell ref="AN89:AN94"/>
    <mergeCell ref="AO89:AO94"/>
    <mergeCell ref="AH456:AJ456"/>
    <mergeCell ref="AK456:AR456"/>
    <mergeCell ref="AH455:AR455"/>
    <mergeCell ref="AH449:AR449"/>
    <mergeCell ref="AH450:AJ450"/>
    <mergeCell ref="AK450:AR450"/>
    <mergeCell ref="X261:AC261"/>
    <mergeCell ref="X399:AC399"/>
    <mergeCell ref="AH431:AJ431"/>
    <mergeCell ref="AK431:AR431"/>
    <mergeCell ref="X108:AC108"/>
    <mergeCell ref="X161:AC161"/>
  </mergeCells>
  <phoneticPr fontId="11" type="noConversion"/>
  <pageMargins left="0.7" right="0.7" top="0.75" bottom="0.75" header="0.3" footer="0.3"/>
  <pageSetup orientation="portrait"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T696"/>
  <sheetViews>
    <sheetView tabSelected="1" topLeftCell="A2" workbookViewId="0">
      <selection activeCell="C7" sqref="C7"/>
    </sheetView>
  </sheetViews>
  <sheetFormatPr baseColWidth="10" defaultRowHeight="16" x14ac:dyDescent="0.2"/>
  <cols>
    <col min="1" max="1" width="16.33203125" customWidth="1"/>
    <col min="2" max="2" width="29.1640625" customWidth="1"/>
    <col min="3" max="3" width="19.1640625" customWidth="1"/>
    <col min="4" max="4" width="23" style="5" customWidth="1"/>
    <col min="5" max="5" width="15.33203125" style="5" customWidth="1"/>
    <col min="6" max="6" width="24" customWidth="1"/>
    <col min="7" max="7" width="18.33203125" style="5" customWidth="1"/>
    <col min="8" max="9" width="15.33203125" style="5" customWidth="1"/>
    <col min="10" max="10" width="17.6640625" style="5" customWidth="1"/>
    <col min="11" max="11" width="21.1640625" style="5" customWidth="1"/>
    <col min="12" max="12" width="13.33203125" style="5" customWidth="1"/>
    <col min="13" max="13" width="10.83203125" style="5"/>
    <col min="14" max="14" width="36.83203125" customWidth="1"/>
    <col min="19" max="19" width="20.1640625" customWidth="1"/>
    <col min="20" max="22" width="21.5" customWidth="1"/>
    <col min="23" max="27" width="15.83203125" customWidth="1"/>
    <col min="28" max="28" width="13.5" customWidth="1"/>
    <col min="29" max="29" width="15.5" customWidth="1"/>
    <col min="30" max="30" width="21" customWidth="1"/>
    <col min="31" max="31" width="14.1640625" customWidth="1"/>
    <col min="32" max="32" width="13.6640625" customWidth="1"/>
    <col min="35" max="35" width="31.1640625" customWidth="1"/>
    <col min="36" max="36" width="41" customWidth="1"/>
    <col min="37" max="37" width="50.1640625" customWidth="1"/>
    <col min="38" max="38" width="36.1640625" style="5" customWidth="1"/>
    <col min="39" max="40" width="36.1640625" customWidth="1"/>
    <col min="41" max="41" width="15" bestFit="1" customWidth="1"/>
  </cols>
  <sheetData>
    <row r="1" spans="1:13" ht="116" customHeight="1" x14ac:dyDescent="0.2">
      <c r="B1" s="1396" t="s">
        <v>1517</v>
      </c>
      <c r="D1" s="16" t="s">
        <v>1185</v>
      </c>
      <c r="E1" s="16" t="s">
        <v>1186</v>
      </c>
      <c r="F1" s="16" t="s">
        <v>1187</v>
      </c>
      <c r="G1" s="16" t="s">
        <v>1184</v>
      </c>
      <c r="J1" s="16"/>
    </row>
    <row r="2" spans="1:13" ht="139" customHeight="1" x14ac:dyDescent="0.2">
      <c r="A2" s="13" t="s">
        <v>1689</v>
      </c>
      <c r="B2" s="13" t="s">
        <v>1516</v>
      </c>
      <c r="G2" s="1498"/>
    </row>
    <row r="3" spans="1:13" x14ac:dyDescent="0.2">
      <c r="C3" t="s">
        <v>1166</v>
      </c>
      <c r="D3" s="5" t="s">
        <v>1167</v>
      </c>
      <c r="E3" s="5" t="s">
        <v>1179</v>
      </c>
      <c r="F3" t="s">
        <v>1182</v>
      </c>
      <c r="G3" s="5" t="s">
        <v>1181</v>
      </c>
      <c r="H3" s="2472" t="s">
        <v>1180</v>
      </c>
      <c r="I3" s="2472"/>
      <c r="J3" s="2472"/>
      <c r="K3" s="2472"/>
      <c r="L3" s="2472"/>
      <c r="M3" s="2472"/>
    </row>
    <row r="4" spans="1:13" x14ac:dyDescent="0.2">
      <c r="A4" t="s">
        <v>1032</v>
      </c>
      <c r="B4" t="str">
        <f>IF(Test_Bible!B3&lt;&gt;"","O","N")</f>
        <v>O</v>
      </c>
      <c r="C4" t="s">
        <v>463</v>
      </c>
      <c r="D4" s="5">
        <v>1</v>
      </c>
      <c r="F4" s="1467"/>
      <c r="G4" s="1468"/>
      <c r="H4" s="1468"/>
      <c r="I4" s="1468"/>
      <c r="J4" s="1468"/>
      <c r="K4" s="1468"/>
      <c r="L4" s="1468"/>
      <c r="M4" s="1468"/>
    </row>
    <row r="5" spans="1:13" x14ac:dyDescent="0.2">
      <c r="A5" t="s">
        <v>1065</v>
      </c>
      <c r="B5" t="str">
        <f>IF(Test_Bible!B11&lt;&gt;" ","O","N")</f>
        <v>N</v>
      </c>
      <c r="C5" t="s">
        <v>33</v>
      </c>
      <c r="F5" s="1467"/>
      <c r="G5" s="1468"/>
      <c r="H5" s="1468"/>
      <c r="I5" s="1468"/>
      <c r="J5" s="1468"/>
      <c r="K5" s="1468"/>
      <c r="L5" s="1468"/>
      <c r="M5" s="1468"/>
    </row>
    <row r="6" spans="1:13" x14ac:dyDescent="0.2">
      <c r="A6" t="s">
        <v>1690</v>
      </c>
      <c r="B6" t="str">
        <f>IF(Test_Bible!B16&lt;&gt;"","O","N")</f>
        <v>O</v>
      </c>
      <c r="C6" t="s">
        <v>36</v>
      </c>
      <c r="D6" s="5">
        <v>1</v>
      </c>
      <c r="F6" s="1467"/>
      <c r="G6" s="1468"/>
      <c r="H6" s="1468"/>
      <c r="I6" s="1468"/>
      <c r="J6" s="1468"/>
      <c r="K6" s="1468"/>
      <c r="L6" s="1468"/>
      <c r="M6" s="1468"/>
    </row>
    <row r="7" spans="1:13" x14ac:dyDescent="0.2">
      <c r="A7" t="s">
        <v>1032</v>
      </c>
      <c r="B7" t="str">
        <f>IF(Test_Bible!B21&lt;&gt;"","O","N")</f>
        <v>O</v>
      </c>
      <c r="C7" t="s">
        <v>37</v>
      </c>
      <c r="D7" s="5">
        <v>1</v>
      </c>
      <c r="F7" s="1467"/>
      <c r="G7" s="1468"/>
      <c r="H7" s="1468"/>
      <c r="I7" s="1468"/>
      <c r="J7" s="1468"/>
      <c r="K7" s="1468"/>
      <c r="L7" s="1468"/>
      <c r="M7" s="1468"/>
    </row>
    <row r="8" spans="1:13" x14ac:dyDescent="0.2">
      <c r="A8" t="s">
        <v>1032</v>
      </c>
      <c r="B8" t="str">
        <f>IF(Test_Bible!B27&lt;&gt;"","O","N")</f>
        <v>O</v>
      </c>
      <c r="C8" t="s">
        <v>38</v>
      </c>
      <c r="D8" s="5">
        <v>2</v>
      </c>
      <c r="F8" s="1467"/>
      <c r="G8" s="1468"/>
      <c r="H8" s="1468"/>
      <c r="I8" s="1468"/>
      <c r="J8" s="1468"/>
      <c r="K8" s="1468"/>
      <c r="L8" s="1468"/>
      <c r="M8" s="1468"/>
    </row>
    <row r="9" spans="1:13" x14ac:dyDescent="0.2">
      <c r="A9" t="s">
        <v>1691</v>
      </c>
      <c r="B9" t="str">
        <f>IF(Test_Bible!B34&lt;&gt;"","O","N")</f>
        <v>O</v>
      </c>
      <c r="C9" t="s">
        <v>39</v>
      </c>
      <c r="D9" s="5">
        <v>2</v>
      </c>
      <c r="F9" s="1467"/>
      <c r="G9" s="1468"/>
      <c r="H9" s="1468"/>
      <c r="I9" s="1468"/>
      <c r="J9" s="1468"/>
      <c r="K9" s="1468"/>
      <c r="L9" s="1468"/>
      <c r="M9" s="1468"/>
    </row>
    <row r="10" spans="1:13" x14ac:dyDescent="0.2">
      <c r="A10" t="s">
        <v>1692</v>
      </c>
      <c r="B10" t="str">
        <f>IF(Test_Bible!B40&lt;&gt;"","O","N")</f>
        <v>O</v>
      </c>
      <c r="C10" t="s">
        <v>770</v>
      </c>
      <c r="D10" s="5">
        <v>9</v>
      </c>
      <c r="F10" s="1467"/>
      <c r="G10" s="1468"/>
      <c r="H10" s="1468"/>
      <c r="I10" s="1468"/>
      <c r="J10" s="1468"/>
      <c r="K10" s="1468"/>
      <c r="L10" s="1468"/>
      <c r="M10" s="1468"/>
    </row>
    <row r="11" spans="1:13" x14ac:dyDescent="0.2">
      <c r="A11" t="s">
        <v>1065</v>
      </c>
      <c r="B11" t="str">
        <f>IF(Test_Bible!B42&lt;&gt;"","O","N")</f>
        <v>O</v>
      </c>
      <c r="C11" t="s">
        <v>40</v>
      </c>
      <c r="D11" s="5">
        <v>1</v>
      </c>
      <c r="F11" s="1467"/>
      <c r="G11" s="1468"/>
      <c r="H11" s="1468"/>
      <c r="I11" s="1468"/>
      <c r="J11" s="1468"/>
      <c r="K11" s="1468"/>
      <c r="L11" s="1468"/>
      <c r="M11" s="1468"/>
    </row>
    <row r="12" spans="1:13" x14ac:dyDescent="0.2">
      <c r="A12" t="s">
        <v>1065</v>
      </c>
      <c r="B12" t="str">
        <f>IF(Test_Bible!B46&lt;&gt;"","O","N")</f>
        <v>O</v>
      </c>
      <c r="C12" t="s">
        <v>41</v>
      </c>
      <c r="D12" s="5">
        <v>3</v>
      </c>
      <c r="F12" s="1467"/>
      <c r="G12" s="1468"/>
      <c r="H12" s="1468"/>
      <c r="I12" s="1468"/>
      <c r="J12" s="1468"/>
      <c r="K12" s="1468"/>
      <c r="L12" s="1468"/>
      <c r="M12" s="1468"/>
    </row>
    <row r="13" spans="1:13" x14ac:dyDescent="0.2">
      <c r="A13" t="s">
        <v>1693</v>
      </c>
      <c r="B13" t="str">
        <f>IF(Test_Bible!B53&lt;&gt;"","O","N")</f>
        <v>O</v>
      </c>
      <c r="C13" t="s">
        <v>42</v>
      </c>
      <c r="D13" s="90">
        <v>2</v>
      </c>
      <c r="E13" s="90">
        <f>Test_Bible!Q53</f>
        <v>6</v>
      </c>
      <c r="F13" s="1467"/>
      <c r="G13" s="1468"/>
      <c r="H13" s="1468"/>
      <c r="I13" s="1468"/>
      <c r="J13" s="1468"/>
      <c r="K13" s="1468"/>
      <c r="L13" s="1468"/>
      <c r="M13" s="1468"/>
    </row>
    <row r="14" spans="1:13" x14ac:dyDescent="0.2">
      <c r="A14" t="s">
        <v>1694</v>
      </c>
      <c r="B14" t="str">
        <f>IF(Test_Bible!B54&lt;&gt;" ","O","N")</f>
        <v>N</v>
      </c>
      <c r="C14" t="s">
        <v>45</v>
      </c>
      <c r="D14" s="90"/>
      <c r="F14" s="1467"/>
      <c r="G14" s="1468"/>
      <c r="H14" s="1468"/>
      <c r="I14" s="1468"/>
      <c r="J14" s="1468"/>
      <c r="K14" s="1468"/>
      <c r="L14" s="1468"/>
      <c r="M14" s="1468"/>
    </row>
    <row r="15" spans="1:13" x14ac:dyDescent="0.2">
      <c r="A15" t="s">
        <v>1693</v>
      </c>
      <c r="B15" t="str">
        <f>IF(Test_Bible!B56&lt;&gt;" ","O","N")</f>
        <v>N</v>
      </c>
      <c r="C15" t="s">
        <v>47</v>
      </c>
      <c r="D15" s="90"/>
      <c r="E15" s="90">
        <f>Test_Bible!Q56</f>
        <v>0</v>
      </c>
      <c r="F15" s="1467"/>
      <c r="G15" s="1468"/>
      <c r="H15" s="1468"/>
      <c r="I15" s="1468"/>
      <c r="J15" s="1468"/>
      <c r="K15" s="1468"/>
      <c r="L15" s="1468"/>
      <c r="M15" s="1468"/>
    </row>
    <row r="16" spans="1:13" x14ac:dyDescent="0.2">
      <c r="A16" t="s">
        <v>1693</v>
      </c>
      <c r="B16" t="str">
        <f>IF(Test_Bible!B57&lt;&gt;" ","O","N")</f>
        <v>N</v>
      </c>
      <c r="C16" t="s">
        <v>49</v>
      </c>
      <c r="D16" s="90"/>
      <c r="E16" s="90">
        <f>Test_Bible!Q57</f>
        <v>0</v>
      </c>
      <c r="F16" s="1467"/>
      <c r="G16" s="1468"/>
      <c r="H16" s="1468"/>
      <c r="I16" s="1468"/>
      <c r="J16" s="1468"/>
      <c r="K16" s="1468"/>
      <c r="L16" s="1468"/>
      <c r="M16" s="1468"/>
    </row>
    <row r="17" spans="1:13" x14ac:dyDescent="0.2">
      <c r="A17" t="s">
        <v>1694</v>
      </c>
      <c r="B17" t="str">
        <f>IF(Test_Bible!B58&lt;&gt;" ","O","N")</f>
        <v>O</v>
      </c>
      <c r="C17" s="45" t="s">
        <v>1101</v>
      </c>
      <c r="D17" s="90">
        <v>1</v>
      </c>
      <c r="E17" s="5">
        <f>Test_Bible!P59</f>
        <v>4</v>
      </c>
      <c r="F17" s="1467"/>
      <c r="G17" s="1468"/>
      <c r="H17" s="1468"/>
      <c r="I17" s="1468"/>
      <c r="J17" s="1468"/>
      <c r="K17" s="1468"/>
      <c r="L17" s="1468"/>
      <c r="M17" s="1468"/>
    </row>
    <row r="18" spans="1:13" x14ac:dyDescent="0.2">
      <c r="A18" t="s">
        <v>1694</v>
      </c>
      <c r="B18" t="str">
        <f>B17</f>
        <v>O</v>
      </c>
      <c r="C18" s="45" t="s">
        <v>1101</v>
      </c>
      <c r="D18" s="90">
        <v>0</v>
      </c>
      <c r="F18" s="1467"/>
      <c r="G18" s="1468"/>
      <c r="H18" s="1468"/>
      <c r="I18" s="1468"/>
      <c r="J18" s="1468"/>
      <c r="K18" s="1468"/>
      <c r="L18" s="1468"/>
      <c r="M18" s="1468"/>
    </row>
    <row r="19" spans="1:13" x14ac:dyDescent="0.2">
      <c r="A19" t="s">
        <v>1694</v>
      </c>
      <c r="B19" t="str">
        <f t="shared" ref="B19:B22" si="0">B18</f>
        <v>O</v>
      </c>
      <c r="C19" s="45" t="s">
        <v>1101</v>
      </c>
      <c r="D19" s="90">
        <v>0</v>
      </c>
      <c r="F19" s="1467"/>
      <c r="G19" s="1468"/>
      <c r="H19" s="1468"/>
      <c r="I19" s="1468"/>
      <c r="J19" s="1468"/>
      <c r="K19" s="1468"/>
      <c r="L19" s="1468"/>
      <c r="M19" s="1468"/>
    </row>
    <row r="20" spans="1:13" x14ac:dyDescent="0.2">
      <c r="A20" t="s">
        <v>1694</v>
      </c>
      <c r="B20" t="str">
        <f t="shared" si="0"/>
        <v>O</v>
      </c>
      <c r="C20" s="45" t="s">
        <v>1101</v>
      </c>
      <c r="D20" s="90">
        <v>1</v>
      </c>
      <c r="F20" s="1467"/>
      <c r="G20" s="1468"/>
      <c r="H20" s="1468"/>
      <c r="I20" s="1468"/>
      <c r="J20" s="1468"/>
      <c r="K20" s="1468"/>
      <c r="L20" s="1468"/>
      <c r="M20" s="1468"/>
    </row>
    <row r="21" spans="1:13" x14ac:dyDescent="0.2">
      <c r="A21" t="s">
        <v>1694</v>
      </c>
      <c r="B21" t="str">
        <f t="shared" si="0"/>
        <v>O</v>
      </c>
      <c r="C21" s="45" t="s">
        <v>1101</v>
      </c>
      <c r="D21" s="90">
        <v>0</v>
      </c>
      <c r="F21" s="1467"/>
      <c r="G21" s="1468"/>
      <c r="H21" s="1468"/>
      <c r="I21" s="1468"/>
      <c r="J21" s="1468"/>
      <c r="K21" s="1468"/>
      <c r="L21" s="1468"/>
      <c r="M21" s="1468"/>
    </row>
    <row r="22" spans="1:13" x14ac:dyDescent="0.2">
      <c r="A22" t="s">
        <v>1694</v>
      </c>
      <c r="B22" t="str">
        <f t="shared" si="0"/>
        <v>O</v>
      </c>
      <c r="C22" s="45" t="s">
        <v>1101</v>
      </c>
      <c r="D22" s="90">
        <v>0</v>
      </c>
      <c r="F22" s="1467"/>
      <c r="G22" s="1468"/>
      <c r="H22" s="1468"/>
      <c r="I22" s="1468"/>
      <c r="J22" s="1468"/>
      <c r="K22" s="1468"/>
      <c r="L22" s="1468"/>
      <c r="M22" s="1468"/>
    </row>
    <row r="23" spans="1:13" x14ac:dyDescent="0.2">
      <c r="A23" t="s">
        <v>1694</v>
      </c>
      <c r="B23" t="str">
        <f>IF(Test_Bible!B68&lt;&gt;" ","O","N")</f>
        <v>O</v>
      </c>
      <c r="C23" s="45" t="s">
        <v>1105</v>
      </c>
      <c r="D23" s="90">
        <v>0</v>
      </c>
      <c r="E23" s="5">
        <f>Test_Bible!P68</f>
        <v>4</v>
      </c>
      <c r="F23" s="1467"/>
      <c r="G23" s="1468"/>
      <c r="H23" s="1468"/>
      <c r="I23" s="1468"/>
      <c r="J23" s="1468"/>
      <c r="K23" s="1468"/>
      <c r="L23" s="1468"/>
      <c r="M23" s="1468"/>
    </row>
    <row r="24" spans="1:13" x14ac:dyDescent="0.2">
      <c r="A24" t="s">
        <v>1694</v>
      </c>
      <c r="B24" t="str">
        <f>B23</f>
        <v>O</v>
      </c>
      <c r="C24" s="45" t="s">
        <v>1105</v>
      </c>
      <c r="D24" s="90">
        <v>0</v>
      </c>
      <c r="F24" s="1467"/>
      <c r="G24" s="1468"/>
      <c r="H24" s="1468"/>
      <c r="I24" s="1468"/>
      <c r="J24" s="1468"/>
      <c r="K24" s="1468"/>
      <c r="L24" s="1468"/>
      <c r="M24" s="1468"/>
    </row>
    <row r="25" spans="1:13" x14ac:dyDescent="0.2">
      <c r="A25" t="s">
        <v>1694</v>
      </c>
      <c r="B25" t="str">
        <f t="shared" ref="B25:B28" si="1">B24</f>
        <v>O</v>
      </c>
      <c r="C25" s="45" t="s">
        <v>1105</v>
      </c>
      <c r="D25" s="90">
        <v>1</v>
      </c>
      <c r="F25" s="1467"/>
      <c r="G25" s="1468"/>
      <c r="H25" s="1468"/>
      <c r="I25" s="1468"/>
      <c r="J25" s="1468"/>
      <c r="K25" s="1468"/>
      <c r="L25" s="1468"/>
      <c r="M25" s="1468"/>
    </row>
    <row r="26" spans="1:13" x14ac:dyDescent="0.2">
      <c r="A26" t="s">
        <v>1694</v>
      </c>
      <c r="B26" t="str">
        <f t="shared" si="1"/>
        <v>O</v>
      </c>
      <c r="C26" s="45" t="s">
        <v>1105</v>
      </c>
      <c r="D26" s="90">
        <v>1</v>
      </c>
      <c r="F26" s="1467"/>
      <c r="G26" s="1468"/>
      <c r="H26" s="1468"/>
      <c r="I26" s="1468"/>
      <c r="J26" s="1468"/>
      <c r="K26" s="1468"/>
      <c r="L26" s="1468"/>
      <c r="M26" s="1468"/>
    </row>
    <row r="27" spans="1:13" x14ac:dyDescent="0.2">
      <c r="A27" t="s">
        <v>1694</v>
      </c>
      <c r="B27" t="str">
        <f t="shared" si="1"/>
        <v>O</v>
      </c>
      <c r="C27" s="45" t="s">
        <v>1105</v>
      </c>
      <c r="D27" s="90">
        <v>0</v>
      </c>
      <c r="F27" s="1467"/>
      <c r="G27" s="1468"/>
      <c r="H27" s="1468"/>
      <c r="I27" s="1468"/>
      <c r="J27" s="1468"/>
      <c r="K27" s="1468"/>
      <c r="L27" s="1468"/>
      <c r="M27" s="1468"/>
    </row>
    <row r="28" spans="1:13" x14ac:dyDescent="0.2">
      <c r="A28" t="s">
        <v>1694</v>
      </c>
      <c r="B28" t="str">
        <f t="shared" si="1"/>
        <v>O</v>
      </c>
      <c r="C28" s="45" t="s">
        <v>1105</v>
      </c>
      <c r="D28" s="90">
        <v>0</v>
      </c>
      <c r="F28" s="1467"/>
      <c r="G28" s="1468"/>
      <c r="H28" s="1468"/>
      <c r="I28" s="1468"/>
      <c r="J28" s="1468"/>
      <c r="K28" s="1468"/>
      <c r="L28" s="1468"/>
      <c r="M28" s="1468"/>
    </row>
    <row r="29" spans="1:13" x14ac:dyDescent="0.2">
      <c r="A29" t="s">
        <v>1032</v>
      </c>
      <c r="B29" t="str">
        <f>IF(Test_Bible!B77&lt;&gt;" ","O","N")</f>
        <v>O</v>
      </c>
      <c r="C29" t="s">
        <v>1106</v>
      </c>
      <c r="D29" s="5">
        <v>1</v>
      </c>
      <c r="F29" s="1467"/>
      <c r="G29" s="1468"/>
      <c r="H29" s="1468"/>
      <c r="I29" s="1468"/>
      <c r="J29" s="1468"/>
      <c r="K29" s="1468"/>
      <c r="L29" s="1468"/>
      <c r="M29" s="1468"/>
    </row>
    <row r="30" spans="1:13" x14ac:dyDescent="0.2">
      <c r="A30" t="s">
        <v>1694</v>
      </c>
      <c r="B30" t="str">
        <f>IF(Test_Bible!B84&lt;&gt;" ","O","N")</f>
        <v>N</v>
      </c>
      <c r="C30" t="s">
        <v>1107</v>
      </c>
      <c r="F30" s="1467"/>
      <c r="G30" s="1468"/>
      <c r="H30" s="1468"/>
      <c r="I30" s="1468"/>
      <c r="J30" s="1468"/>
      <c r="K30" s="1468"/>
      <c r="L30" s="1468"/>
      <c r="M30" s="1468"/>
    </row>
    <row r="31" spans="1:13" x14ac:dyDescent="0.2">
      <c r="A31" t="s">
        <v>1067</v>
      </c>
      <c r="B31" t="str">
        <f>IF(Test_Bible!B87&lt;&gt;" ","O","N")</f>
        <v>N</v>
      </c>
      <c r="C31" s="45" t="s">
        <v>1108</v>
      </c>
      <c r="E31" s="5">
        <f>Test_Bible!P87</f>
        <v>0</v>
      </c>
      <c r="F31" s="1467"/>
      <c r="G31" s="1468"/>
      <c r="H31" s="1468"/>
      <c r="I31" s="1468"/>
      <c r="J31" s="1468"/>
      <c r="K31" s="1468"/>
      <c r="L31" s="1468"/>
      <c r="M31" s="1468"/>
    </row>
    <row r="32" spans="1:13" x14ac:dyDescent="0.2">
      <c r="A32" t="s">
        <v>1694</v>
      </c>
      <c r="B32" t="str">
        <f>B31</f>
        <v>N</v>
      </c>
      <c r="C32" s="45" t="s">
        <v>1108</v>
      </c>
      <c r="F32" s="1467"/>
      <c r="G32" s="1468"/>
      <c r="H32" s="1468"/>
      <c r="I32" s="1468"/>
      <c r="J32" s="1468"/>
      <c r="K32" s="1468"/>
      <c r="L32" s="1468"/>
      <c r="M32" s="1468"/>
    </row>
    <row r="33" spans="1:13" x14ac:dyDescent="0.2">
      <c r="A33" t="s">
        <v>1694</v>
      </c>
      <c r="B33" t="str">
        <f t="shared" ref="B33:B36" si="2">B32</f>
        <v>N</v>
      </c>
      <c r="C33" s="45" t="s">
        <v>1108</v>
      </c>
      <c r="F33" s="1467"/>
      <c r="G33" s="1468"/>
      <c r="H33" s="1468"/>
      <c r="I33" s="1468"/>
      <c r="J33" s="1468"/>
      <c r="K33" s="1468"/>
      <c r="L33" s="1468"/>
      <c r="M33" s="1468"/>
    </row>
    <row r="34" spans="1:13" x14ac:dyDescent="0.2">
      <c r="A34" t="s">
        <v>1694</v>
      </c>
      <c r="B34" t="str">
        <f t="shared" si="2"/>
        <v>N</v>
      </c>
      <c r="C34" s="45" t="s">
        <v>1108</v>
      </c>
      <c r="F34" s="1467"/>
      <c r="G34" s="1468"/>
      <c r="H34" s="1468"/>
      <c r="I34" s="1468"/>
      <c r="J34" s="1468"/>
      <c r="K34" s="1468"/>
      <c r="L34" s="1468"/>
      <c r="M34" s="1468"/>
    </row>
    <row r="35" spans="1:13" x14ac:dyDescent="0.2">
      <c r="A35" t="s">
        <v>1694</v>
      </c>
      <c r="B35" t="str">
        <f t="shared" si="2"/>
        <v>N</v>
      </c>
      <c r="C35" s="45" t="s">
        <v>1108</v>
      </c>
      <c r="F35" s="1467"/>
      <c r="G35" s="1468"/>
      <c r="H35" s="1468"/>
      <c r="I35" s="1468"/>
      <c r="J35" s="1468"/>
      <c r="K35" s="1468"/>
      <c r="L35" s="1468"/>
      <c r="M35" s="1468"/>
    </row>
    <row r="36" spans="1:13" x14ac:dyDescent="0.2">
      <c r="A36" t="s">
        <v>1694</v>
      </c>
      <c r="B36" t="str">
        <f t="shared" si="2"/>
        <v>N</v>
      </c>
      <c r="C36" s="45" t="s">
        <v>1108</v>
      </c>
      <c r="F36" s="1467"/>
      <c r="G36" s="1468"/>
      <c r="H36" s="1468"/>
      <c r="I36" s="1468"/>
      <c r="J36" s="1468"/>
      <c r="K36" s="1468"/>
      <c r="L36" s="1468"/>
      <c r="M36" s="1468"/>
    </row>
    <row r="37" spans="1:13" x14ac:dyDescent="0.2">
      <c r="F37" s="1467"/>
      <c r="G37" s="1468"/>
      <c r="H37" s="1468"/>
      <c r="I37" s="1468"/>
      <c r="J37" s="1468"/>
      <c r="K37" s="1468"/>
      <c r="L37" s="1468"/>
      <c r="M37" s="1468"/>
    </row>
    <row r="38" spans="1:13" x14ac:dyDescent="0.2">
      <c r="F38" s="1469" t="s">
        <v>1183</v>
      </c>
      <c r="G38" s="1470"/>
      <c r="H38" s="1470"/>
      <c r="I38" s="1470"/>
      <c r="J38" s="1470"/>
      <c r="K38" s="1470"/>
      <c r="L38" s="1470"/>
      <c r="M38" s="1470"/>
    </row>
    <row r="49" spans="1:13" x14ac:dyDescent="0.2">
      <c r="A49" t="s">
        <v>386</v>
      </c>
      <c r="B49" t="str">
        <f>IF(Test_Bible!B98&lt;&gt;"","O","N")</f>
        <v>O</v>
      </c>
      <c r="C49" t="s">
        <v>53</v>
      </c>
      <c r="D49" s="90">
        <v>10</v>
      </c>
      <c r="E49" s="90">
        <f>Test_Bible!Q98</f>
        <v>10</v>
      </c>
      <c r="F49" s="1467"/>
      <c r="G49" s="1468"/>
      <c r="H49" s="1468"/>
      <c r="I49" s="1468"/>
      <c r="J49" s="1468"/>
      <c r="K49" s="1468"/>
      <c r="L49" s="1468"/>
      <c r="M49" s="1468"/>
    </row>
    <row r="50" spans="1:13" x14ac:dyDescent="0.2">
      <c r="A50" t="s">
        <v>386</v>
      </c>
      <c r="B50" t="str">
        <f>IF(Test_Bible!B99&lt;&gt;"","O","N")</f>
        <v>O</v>
      </c>
      <c r="C50" t="s">
        <v>56</v>
      </c>
      <c r="D50" s="90">
        <v>10</v>
      </c>
      <c r="E50" s="90">
        <f>Test_Bible!Q99</f>
        <v>10</v>
      </c>
      <c r="F50" s="1467"/>
      <c r="G50" s="1468"/>
      <c r="H50" s="1468"/>
      <c r="I50" s="1468"/>
      <c r="J50" s="1468"/>
      <c r="K50" s="1468"/>
      <c r="L50" s="1468"/>
      <c r="M50" s="1468"/>
    </row>
    <row r="51" spans="1:13" x14ac:dyDescent="0.2">
      <c r="A51" t="s">
        <v>386</v>
      </c>
      <c r="B51" t="str">
        <f>IF(Test_Bible!B100&lt;&gt;"","O","N")</f>
        <v>O</v>
      </c>
      <c r="C51" t="s">
        <v>57</v>
      </c>
      <c r="D51" s="90">
        <v>6</v>
      </c>
      <c r="E51" s="90">
        <f>Test_Bible!Q100</f>
        <v>6</v>
      </c>
      <c r="F51" s="1467"/>
      <c r="G51" s="1468"/>
      <c r="H51" s="1468"/>
      <c r="I51" s="1468"/>
      <c r="J51" s="1468"/>
      <c r="K51" s="1468"/>
      <c r="L51" s="1468"/>
      <c r="M51" s="1468"/>
    </row>
    <row r="52" spans="1:13" x14ac:dyDescent="0.2">
      <c r="A52" t="s">
        <v>386</v>
      </c>
      <c r="B52" t="str">
        <f>IF(Test_Bible!B101&lt;&gt;" ","O","N")</f>
        <v>O</v>
      </c>
      <c r="C52" t="s">
        <v>58</v>
      </c>
      <c r="D52" s="90">
        <v>1</v>
      </c>
      <c r="E52" s="90">
        <f>Test_Bible!Q101</f>
        <v>1</v>
      </c>
      <c r="F52" s="1467"/>
      <c r="G52" s="1468"/>
      <c r="H52" s="1468"/>
      <c r="I52" s="1468"/>
      <c r="J52" s="1468"/>
      <c r="K52" s="1468"/>
      <c r="L52" s="1468"/>
      <c r="M52" s="1468"/>
    </row>
    <row r="53" spans="1:13" x14ac:dyDescent="0.2">
      <c r="A53" t="s">
        <v>386</v>
      </c>
      <c r="B53" t="str">
        <f>IF(Test_Bible!B102&lt;&gt;" ","O","N")</f>
        <v>N</v>
      </c>
      <c r="C53" t="s">
        <v>1138</v>
      </c>
      <c r="D53" s="90"/>
      <c r="E53" s="90">
        <f>Test_Bible!Q102</f>
        <v>0</v>
      </c>
      <c r="F53" s="1467"/>
      <c r="G53" s="1468"/>
      <c r="H53" s="1468"/>
      <c r="I53" s="1468"/>
      <c r="J53" s="1468"/>
      <c r="K53" s="1468"/>
      <c r="L53" s="1468"/>
      <c r="M53" s="1468"/>
    </row>
    <row r="54" spans="1:13" x14ac:dyDescent="0.2">
      <c r="A54" t="s">
        <v>1693</v>
      </c>
      <c r="B54" t="str">
        <f>IF(Test_Bible!B104&lt;&gt;"","O","N")</f>
        <v>O</v>
      </c>
      <c r="C54" t="s">
        <v>59</v>
      </c>
      <c r="D54" s="90">
        <v>2</v>
      </c>
      <c r="E54" s="90">
        <f>Test_Bible!Q104</f>
        <v>4</v>
      </c>
      <c r="F54" s="1467"/>
      <c r="G54" s="1468"/>
      <c r="H54" s="1468"/>
      <c r="I54" s="1468"/>
      <c r="J54" s="1468"/>
      <c r="K54" s="1468"/>
      <c r="L54" s="1468"/>
      <c r="M54" s="1468"/>
    </row>
    <row r="55" spans="1:13" x14ac:dyDescent="0.2">
      <c r="A55" t="s">
        <v>1693</v>
      </c>
      <c r="B55" t="str">
        <f>IF(Test_Bible!B105&lt;&gt;" ","O","N")</f>
        <v>O</v>
      </c>
      <c r="C55" t="s">
        <v>62</v>
      </c>
      <c r="D55" s="90">
        <v>2</v>
      </c>
      <c r="E55" s="90">
        <f>Test_Bible!Q105</f>
        <v>6</v>
      </c>
      <c r="F55" s="1467"/>
      <c r="G55" s="1468"/>
      <c r="H55" s="1468"/>
      <c r="I55" s="1468"/>
      <c r="J55" s="1468"/>
      <c r="K55" s="1468"/>
      <c r="L55" s="1468"/>
      <c r="M55" s="1468"/>
    </row>
    <row r="56" spans="1:13" x14ac:dyDescent="0.2">
      <c r="A56" t="s">
        <v>1693</v>
      </c>
      <c r="B56" t="str">
        <f>IF(Test_Bible!B106&lt;&gt;"","O","N")</f>
        <v>O</v>
      </c>
      <c r="C56" t="s">
        <v>63</v>
      </c>
      <c r="D56" s="90">
        <v>1</v>
      </c>
      <c r="E56" s="90">
        <f>Test_Bible!Q106</f>
        <v>1</v>
      </c>
      <c r="F56" s="1467"/>
      <c r="G56" s="1468"/>
      <c r="H56" s="1468"/>
      <c r="I56" s="1468"/>
      <c r="J56" s="1468"/>
      <c r="K56" s="1468"/>
      <c r="L56" s="1468"/>
      <c r="M56" s="1468"/>
    </row>
    <row r="57" spans="1:13" x14ac:dyDescent="0.2">
      <c r="A57" t="s">
        <v>1693</v>
      </c>
      <c r="B57" t="str">
        <f>IF(Test_Bible!B107&lt;&gt;" ","O","N")</f>
        <v>N</v>
      </c>
      <c r="C57" t="s">
        <v>812</v>
      </c>
      <c r="D57" s="90"/>
      <c r="E57" s="90">
        <f>Test_Bible!Q107</f>
        <v>0</v>
      </c>
      <c r="F57" s="1467"/>
      <c r="G57" s="1468"/>
      <c r="H57" s="1468"/>
      <c r="I57" s="1468"/>
      <c r="J57" s="1468"/>
      <c r="K57" s="1468"/>
      <c r="L57" s="1468"/>
      <c r="M57" s="1468"/>
    </row>
    <row r="58" spans="1:13" x14ac:dyDescent="0.2">
      <c r="F58" s="1469" t="s">
        <v>1183</v>
      </c>
      <c r="G58" s="1470"/>
      <c r="H58" s="1470"/>
      <c r="I58" s="1470"/>
      <c r="J58" s="1470"/>
      <c r="K58" s="1470"/>
      <c r="L58" s="1470"/>
      <c r="M58" s="1470"/>
    </row>
    <row r="83" spans="1:6" x14ac:dyDescent="0.2">
      <c r="A83" t="s">
        <v>386</v>
      </c>
      <c r="B83" t="str">
        <f>IF(Test_Bible!B110&lt;&gt;"","O","N")</f>
        <v>O</v>
      </c>
      <c r="C83" t="s">
        <v>1344</v>
      </c>
      <c r="D83" s="90">
        <v>1</v>
      </c>
      <c r="E83" s="90">
        <f>Test_Bible!Q110</f>
        <v>1</v>
      </c>
    </row>
    <row r="84" spans="1:6" x14ac:dyDescent="0.2">
      <c r="A84" t="s">
        <v>1693</v>
      </c>
      <c r="B84" t="str">
        <f>IF(Test_Bible!B112&lt;&gt;" ","O","N")</f>
        <v>N</v>
      </c>
      <c r="C84" t="s">
        <v>694</v>
      </c>
      <c r="D84" s="90"/>
      <c r="E84" s="90">
        <f>Test_Bible!Q112</f>
        <v>0</v>
      </c>
      <c r="F84" s="55">
        <f>Test_Bible!V112</f>
        <v>0</v>
      </c>
    </row>
    <row r="85" spans="1:6" x14ac:dyDescent="0.2">
      <c r="A85" t="s">
        <v>1693</v>
      </c>
      <c r="B85" t="str">
        <f>IF(Test_Bible!B113&lt;&gt;" ","O","N")</f>
        <v>N</v>
      </c>
      <c r="C85" t="s">
        <v>814</v>
      </c>
      <c r="D85" s="90"/>
      <c r="E85" s="90">
        <f>Test_Bible!Q113</f>
        <v>0</v>
      </c>
    </row>
    <row r="86" spans="1:6" x14ac:dyDescent="0.2">
      <c r="A86" t="s">
        <v>1693</v>
      </c>
      <c r="B86" t="str">
        <f>IF(Test_Bible!B114&lt;&gt;" ","O","N")</f>
        <v>N</v>
      </c>
      <c r="C86" t="s">
        <v>1125</v>
      </c>
      <c r="D86" s="90"/>
      <c r="E86" s="90">
        <f>Test_Bible!Q114</f>
        <v>0</v>
      </c>
    </row>
    <row r="87" spans="1:6" x14ac:dyDescent="0.2">
      <c r="A87" t="s">
        <v>1694</v>
      </c>
      <c r="B87" t="str">
        <f>IF(Test_Bible!B116&lt;&gt;" ","O","N")</f>
        <v>N</v>
      </c>
      <c r="C87" s="45" t="s">
        <v>815</v>
      </c>
      <c r="D87" s="90"/>
      <c r="E87" s="90">
        <f>Test_Bible!P115</f>
        <v>0</v>
      </c>
    </row>
    <row r="88" spans="1:6" x14ac:dyDescent="0.2">
      <c r="A88" t="s">
        <v>1694</v>
      </c>
      <c r="B88" t="str">
        <f>B87</f>
        <v>N</v>
      </c>
      <c r="C88" s="45" t="s">
        <v>815</v>
      </c>
      <c r="D88" s="90"/>
      <c r="E88" s="90"/>
    </row>
    <row r="89" spans="1:6" x14ac:dyDescent="0.2">
      <c r="A89" t="s">
        <v>1694</v>
      </c>
      <c r="B89" t="str">
        <f t="shared" ref="B89:B92" si="3">B88</f>
        <v>N</v>
      </c>
      <c r="C89" s="45" t="s">
        <v>815</v>
      </c>
      <c r="D89" s="90"/>
      <c r="E89" s="90"/>
    </row>
    <row r="90" spans="1:6" x14ac:dyDescent="0.2">
      <c r="A90" t="s">
        <v>1694</v>
      </c>
      <c r="B90" t="str">
        <f t="shared" si="3"/>
        <v>N</v>
      </c>
      <c r="C90" s="45" t="s">
        <v>815</v>
      </c>
      <c r="D90" s="90"/>
      <c r="E90" s="90"/>
    </row>
    <row r="91" spans="1:6" x14ac:dyDescent="0.2">
      <c r="A91" t="s">
        <v>1694</v>
      </c>
      <c r="B91" t="str">
        <f t="shared" si="3"/>
        <v>N</v>
      </c>
      <c r="C91" s="45" t="s">
        <v>815</v>
      </c>
      <c r="D91" s="90"/>
      <c r="E91" s="90"/>
    </row>
    <row r="92" spans="1:6" x14ac:dyDescent="0.2">
      <c r="A92" t="s">
        <v>1694</v>
      </c>
      <c r="B92" t="str">
        <f t="shared" si="3"/>
        <v>N</v>
      </c>
      <c r="C92" s="45" t="s">
        <v>815</v>
      </c>
      <c r="D92" s="90"/>
      <c r="E92" s="90"/>
    </row>
    <row r="93" spans="1:6" x14ac:dyDescent="0.2">
      <c r="A93" t="s">
        <v>1693</v>
      </c>
      <c r="B93" t="str">
        <f>IF(Test_Bible!B123&lt;&gt;" ","O","N")</f>
        <v>O</v>
      </c>
      <c r="C93" t="s">
        <v>69</v>
      </c>
      <c r="D93" s="90">
        <v>10</v>
      </c>
      <c r="E93" s="90">
        <f>Test_Bible!Q123</f>
        <v>10</v>
      </c>
      <c r="F93" s="55">
        <f>Test_Bible!V123</f>
        <v>10</v>
      </c>
    </row>
    <row r="94" spans="1:6" x14ac:dyDescent="0.2">
      <c r="A94" t="s">
        <v>1693</v>
      </c>
      <c r="B94" t="str">
        <f>IF(Test_Bible!B124&lt;&gt;"","O","N")</f>
        <v>O</v>
      </c>
      <c r="C94" t="s">
        <v>813</v>
      </c>
      <c r="D94" s="90">
        <v>1</v>
      </c>
      <c r="E94" s="90">
        <f>Test_Bible!Q124</f>
        <v>1</v>
      </c>
      <c r="F94" s="55">
        <f>Test_Bible!V124</f>
        <v>1</v>
      </c>
    </row>
    <row r="95" spans="1:6" x14ac:dyDescent="0.2">
      <c r="A95" t="s">
        <v>1693</v>
      </c>
      <c r="B95" t="str">
        <f>IF(Test_Bible!B125&lt;&gt;"","O","N")</f>
        <v>O</v>
      </c>
      <c r="C95" t="s">
        <v>70</v>
      </c>
      <c r="D95" s="90">
        <v>4</v>
      </c>
      <c r="E95" s="90">
        <f>Test_Bible!Q125</f>
        <v>4</v>
      </c>
      <c r="F95" s="55">
        <f>Test_Bible!V125</f>
        <v>4</v>
      </c>
    </row>
    <row r="96" spans="1:6" x14ac:dyDescent="0.2">
      <c r="A96" t="s">
        <v>1693</v>
      </c>
      <c r="B96" t="str">
        <f>IF(Test_Bible!B126&lt;&gt;"","O","N")</f>
        <v>O</v>
      </c>
      <c r="C96" t="s">
        <v>71</v>
      </c>
      <c r="D96" s="90">
        <v>2</v>
      </c>
      <c r="E96" s="90">
        <f>Test_Bible!Q126</f>
        <v>2</v>
      </c>
      <c r="F96" s="55">
        <f>Test_Bible!V126</f>
        <v>2</v>
      </c>
    </row>
    <row r="97" spans="1:6" x14ac:dyDescent="0.2">
      <c r="A97" t="s">
        <v>1694</v>
      </c>
      <c r="B97" t="str">
        <f>IF(Test_Bible!B128&lt;&gt;" ","O","N")</f>
        <v>O</v>
      </c>
      <c r="C97" s="45" t="s">
        <v>73</v>
      </c>
      <c r="D97" s="90"/>
      <c r="E97" s="90">
        <f>Test_Bible!P127</f>
        <v>8</v>
      </c>
    </row>
    <row r="98" spans="1:6" x14ac:dyDescent="0.2">
      <c r="A98" t="s">
        <v>1694</v>
      </c>
      <c r="B98" t="str">
        <f>B97</f>
        <v>O</v>
      </c>
      <c r="C98" s="45" t="s">
        <v>73</v>
      </c>
      <c r="D98" s="90"/>
      <c r="E98" s="90"/>
    </row>
    <row r="99" spans="1:6" x14ac:dyDescent="0.2">
      <c r="A99" t="s">
        <v>1694</v>
      </c>
      <c r="B99" t="str">
        <f t="shared" ref="B99:B101" si="4">B98</f>
        <v>O</v>
      </c>
      <c r="C99" s="45" t="s">
        <v>73</v>
      </c>
      <c r="D99" s="90">
        <v>1</v>
      </c>
      <c r="E99" s="90"/>
    </row>
    <row r="100" spans="1:6" x14ac:dyDescent="0.2">
      <c r="A100" t="s">
        <v>1694</v>
      </c>
      <c r="B100" t="str">
        <f t="shared" si="4"/>
        <v>O</v>
      </c>
      <c r="C100" s="45" t="s">
        <v>73</v>
      </c>
      <c r="D100" s="90"/>
      <c r="E100" s="90"/>
    </row>
    <row r="101" spans="1:6" x14ac:dyDescent="0.2">
      <c r="A101" t="s">
        <v>1694</v>
      </c>
      <c r="B101" t="str">
        <f t="shared" si="4"/>
        <v>O</v>
      </c>
      <c r="C101" s="45" t="s">
        <v>73</v>
      </c>
      <c r="D101" s="90">
        <v>1</v>
      </c>
      <c r="E101" s="90"/>
    </row>
    <row r="102" spans="1:6" x14ac:dyDescent="0.2">
      <c r="A102" t="s">
        <v>1693</v>
      </c>
      <c r="B102" t="str">
        <f>IF(Test_Bible!B134&lt;&gt;"","O","N")</f>
        <v>O</v>
      </c>
      <c r="C102" t="s">
        <v>74</v>
      </c>
      <c r="D102" s="90">
        <v>2</v>
      </c>
      <c r="E102" s="90">
        <f>Test_Bible!Q134</f>
        <v>2</v>
      </c>
      <c r="F102" s="55">
        <f>Test_Bible!V134</f>
        <v>2</v>
      </c>
    </row>
    <row r="103" spans="1:6" x14ac:dyDescent="0.2">
      <c r="A103" t="s">
        <v>1693</v>
      </c>
      <c r="B103" t="str">
        <f>IF(Test_Bible!B135&lt;&gt;"","O","N")</f>
        <v>O</v>
      </c>
      <c r="C103" t="s">
        <v>75</v>
      </c>
      <c r="D103" s="90">
        <v>4</v>
      </c>
      <c r="E103" s="90">
        <f>Test_Bible!Q135</f>
        <v>12</v>
      </c>
      <c r="F103" s="55">
        <f>Test_Bible!V135</f>
        <v>12</v>
      </c>
    </row>
    <row r="104" spans="1:6" x14ac:dyDescent="0.2">
      <c r="A104" t="s">
        <v>1693</v>
      </c>
      <c r="B104" t="str">
        <f>IF(Test_Bible!B136&lt;&gt;"","O","N")</f>
        <v>O</v>
      </c>
      <c r="C104" t="s">
        <v>76</v>
      </c>
      <c r="D104" s="90">
        <v>2</v>
      </c>
      <c r="E104" s="90">
        <f>Test_Bible!Q136</f>
        <v>6</v>
      </c>
      <c r="F104" s="55">
        <f>Test_Bible!V136</f>
        <v>6</v>
      </c>
    </row>
    <row r="105" spans="1:6" x14ac:dyDescent="0.2">
      <c r="A105" t="s">
        <v>1693</v>
      </c>
      <c r="B105" t="str">
        <f>IF(Test_Bible!B137&lt;&gt;"","O","N")</f>
        <v>O</v>
      </c>
      <c r="C105" t="s">
        <v>1011</v>
      </c>
      <c r="D105" s="90">
        <v>4</v>
      </c>
      <c r="E105" s="90">
        <f>Test_Bible!Q137</f>
        <v>4</v>
      </c>
      <c r="F105" s="55"/>
    </row>
    <row r="106" spans="1:6" x14ac:dyDescent="0.2">
      <c r="A106" t="s">
        <v>1693</v>
      </c>
      <c r="B106" t="str">
        <f>IF(Test_Bible!B138&lt;&gt;"","O","N")</f>
        <v>O</v>
      </c>
      <c r="C106" t="s">
        <v>77</v>
      </c>
      <c r="D106" s="90">
        <v>1</v>
      </c>
      <c r="E106" s="90">
        <f>Test_Bible!Q138</f>
        <v>1</v>
      </c>
      <c r="F106" s="55">
        <f>Test_Bible!V138</f>
        <v>1</v>
      </c>
    </row>
    <row r="107" spans="1:6" x14ac:dyDescent="0.2">
      <c r="A107" t="s">
        <v>1693</v>
      </c>
      <c r="B107" t="str">
        <f>IF(Test_Bible!B139&lt;&gt;"","O","N")</f>
        <v>O</v>
      </c>
      <c r="C107" t="s">
        <v>78</v>
      </c>
      <c r="D107" s="90">
        <v>1</v>
      </c>
      <c r="E107" s="90">
        <f>Test_Bible!Q139</f>
        <v>2</v>
      </c>
      <c r="F107" s="55">
        <f>Test_Bible!V139</f>
        <v>2</v>
      </c>
    </row>
    <row r="108" spans="1:6" x14ac:dyDescent="0.2">
      <c r="A108" t="s">
        <v>1693</v>
      </c>
      <c r="B108" t="str">
        <f>IF(Test_Bible!B140&lt;&gt;"","O","N")</f>
        <v>O</v>
      </c>
      <c r="C108" t="s">
        <v>79</v>
      </c>
      <c r="D108" s="90">
        <v>2</v>
      </c>
      <c r="E108" s="90">
        <f>Test_Bible!Q140</f>
        <v>4</v>
      </c>
      <c r="F108" s="55">
        <f>Test_Bible!V140</f>
        <v>4</v>
      </c>
    </row>
    <row r="109" spans="1:6" x14ac:dyDescent="0.2">
      <c r="A109" t="s">
        <v>1694</v>
      </c>
      <c r="B109" t="str">
        <f>IF(Test_Bible!B142&lt;&gt;"","O","N")</f>
        <v>N</v>
      </c>
      <c r="C109" s="45" t="s">
        <v>80</v>
      </c>
      <c r="D109" s="90"/>
      <c r="E109" s="90">
        <f>Test_Bible!P141</f>
        <v>0</v>
      </c>
    </row>
    <row r="110" spans="1:6" x14ac:dyDescent="0.2">
      <c r="A110" t="s">
        <v>1694</v>
      </c>
      <c r="B110" t="str">
        <f>IF(Test_Bible!B143&lt;&gt;"","O","N")</f>
        <v>N</v>
      </c>
      <c r="C110" s="45" t="s">
        <v>80</v>
      </c>
      <c r="D110" s="90"/>
      <c r="E110" s="90"/>
    </row>
    <row r="111" spans="1:6" x14ac:dyDescent="0.2">
      <c r="A111" t="s">
        <v>1694</v>
      </c>
      <c r="B111" t="str">
        <f>IF(Test_Bible!B144&lt;&gt;"","O","N")</f>
        <v>N</v>
      </c>
      <c r="C111" s="45" t="s">
        <v>80</v>
      </c>
      <c r="D111" s="90"/>
      <c r="E111" s="90"/>
    </row>
    <row r="112" spans="1:6" x14ac:dyDescent="0.2">
      <c r="A112" t="s">
        <v>1694</v>
      </c>
      <c r="B112" t="str">
        <f>IF(Test_Bible!B145&lt;&gt;"","O","N")</f>
        <v>N</v>
      </c>
      <c r="C112" s="45" t="s">
        <v>80</v>
      </c>
      <c r="D112" s="90"/>
      <c r="E112" s="90"/>
    </row>
    <row r="113" spans="1:13" x14ac:dyDescent="0.2">
      <c r="A113" t="s">
        <v>1694</v>
      </c>
      <c r="B113" t="str">
        <f>IF(Test_Bible!B146&lt;&gt;"","O","N")</f>
        <v>N</v>
      </c>
      <c r="C113" s="45" t="s">
        <v>80</v>
      </c>
      <c r="D113" s="90"/>
      <c r="E113" s="90"/>
    </row>
    <row r="114" spans="1:13" x14ac:dyDescent="0.2">
      <c r="A114" t="s">
        <v>1694</v>
      </c>
      <c r="B114" t="str">
        <f>IF(Test_Bible!B147&lt;&gt;"","O","N")</f>
        <v>N</v>
      </c>
      <c r="C114" s="45" t="s">
        <v>80</v>
      </c>
      <c r="D114" s="90"/>
      <c r="E114" s="90"/>
    </row>
    <row r="115" spans="1:13" x14ac:dyDescent="0.2">
      <c r="A115" t="s">
        <v>1693</v>
      </c>
      <c r="B115" t="str">
        <f>IF(Test_Bible!B149&lt;&gt;"","O","N")</f>
        <v>O</v>
      </c>
      <c r="C115" t="s">
        <v>82</v>
      </c>
      <c r="D115" s="90">
        <v>7</v>
      </c>
      <c r="E115" s="90">
        <f>Test_Bible!Q149</f>
        <v>21</v>
      </c>
      <c r="F115" s="55">
        <f>Test_Bible!V149</f>
        <v>21</v>
      </c>
    </row>
    <row r="116" spans="1:13" x14ac:dyDescent="0.2">
      <c r="A116" t="s">
        <v>1693</v>
      </c>
      <c r="B116" t="str">
        <f>IF(Test_Bible!B150&lt;&gt;"","O","N")</f>
        <v>O</v>
      </c>
      <c r="C116" t="s">
        <v>84</v>
      </c>
      <c r="D116" s="90">
        <v>1</v>
      </c>
      <c r="E116" s="90">
        <f>Test_Bible!Q150</f>
        <v>3</v>
      </c>
      <c r="F116" s="55">
        <f>Test_Bible!V150</f>
        <v>3</v>
      </c>
    </row>
    <row r="117" spans="1:13" x14ac:dyDescent="0.2">
      <c r="A117" t="s">
        <v>1693</v>
      </c>
      <c r="B117" t="str">
        <f>IF(Test_Bible!B151&lt;&gt;"","O","N")</f>
        <v>O</v>
      </c>
      <c r="C117" t="s">
        <v>595</v>
      </c>
      <c r="D117" s="90">
        <v>4</v>
      </c>
      <c r="E117" s="90">
        <f>Test_Bible!Q151</f>
        <v>12</v>
      </c>
      <c r="F117" s="55">
        <f>Test_Bible!V151</f>
        <v>12</v>
      </c>
    </row>
    <row r="118" spans="1:13" x14ac:dyDescent="0.2">
      <c r="A118" t="s">
        <v>1694</v>
      </c>
      <c r="B118" t="str">
        <f>IF(Test_Bible!B152&lt;&gt;" ","O","N")</f>
        <v>O</v>
      </c>
      <c r="C118" t="s">
        <v>85</v>
      </c>
      <c r="D118" s="90">
        <v>1</v>
      </c>
      <c r="E118" s="90"/>
    </row>
    <row r="119" spans="1:13" x14ac:dyDescent="0.2">
      <c r="A119" t="s">
        <v>1693</v>
      </c>
      <c r="B119" t="str">
        <f>IF(Test_Bible!B154&lt;&gt;"","O","N")</f>
        <v>O</v>
      </c>
      <c r="C119" t="s">
        <v>86</v>
      </c>
      <c r="D119" s="90">
        <v>4</v>
      </c>
      <c r="E119" s="90">
        <f>Test_Bible!Q154</f>
        <v>4</v>
      </c>
      <c r="F119" s="55">
        <f>Test_Bible!V154</f>
        <v>8</v>
      </c>
    </row>
    <row r="120" spans="1:13" x14ac:dyDescent="0.2">
      <c r="A120" t="s">
        <v>1693</v>
      </c>
      <c r="B120" t="str">
        <f>IF(Test_Bible!B155&lt;&gt;" ","O","N")</f>
        <v>O</v>
      </c>
      <c r="C120" t="s">
        <v>88</v>
      </c>
      <c r="D120" s="90">
        <v>4</v>
      </c>
      <c r="E120" s="90">
        <f>Test_Bible!Q155</f>
        <v>8</v>
      </c>
    </row>
    <row r="121" spans="1:13" x14ac:dyDescent="0.2">
      <c r="A121" t="s">
        <v>1693</v>
      </c>
      <c r="B121" t="str">
        <f>IF(Test_Bible!B156&lt;&gt;"","O","N")</f>
        <v>N</v>
      </c>
      <c r="C121" t="s">
        <v>196</v>
      </c>
      <c r="D121" s="90"/>
      <c r="E121" s="90">
        <f>Test_Bible!Q156</f>
        <v>0</v>
      </c>
      <c r="F121" s="55">
        <f>Test_Bible!V156</f>
        <v>0</v>
      </c>
    </row>
    <row r="122" spans="1:13" x14ac:dyDescent="0.2">
      <c r="A122" t="s">
        <v>1693</v>
      </c>
      <c r="B122" t="str">
        <f>IF(Test_Bible!B157&lt;&gt;"","O","N")</f>
        <v>N</v>
      </c>
      <c r="C122" t="s">
        <v>197</v>
      </c>
      <c r="D122" s="90"/>
      <c r="E122" s="90">
        <f>Test_Bible!Q157</f>
        <v>0</v>
      </c>
      <c r="F122" s="55">
        <f>Test_Bible!V157</f>
        <v>0</v>
      </c>
    </row>
    <row r="123" spans="1:13" ht="20" customHeight="1" x14ac:dyDescent="0.2">
      <c r="C123" s="1494"/>
      <c r="D123" s="1495"/>
      <c r="E123" s="1495"/>
      <c r="F123" s="1494"/>
      <c r="G123" s="1496">
        <f>Test_Bible!V159</f>
        <v>88</v>
      </c>
      <c r="H123" s="1496">
        <f>Test_Bible!X159</f>
        <v>0</v>
      </c>
      <c r="I123" s="1496">
        <f>Test_Bible!Y159</f>
        <v>27</v>
      </c>
      <c r="J123" s="1496">
        <f>Test_Bible!Z159</f>
        <v>54</v>
      </c>
      <c r="K123" s="1496">
        <f>Test_Bible!AA159</f>
        <v>108</v>
      </c>
      <c r="L123" s="1496">
        <f>Test_Bible!AB159</f>
        <v>189</v>
      </c>
      <c r="M123" s="1496">
        <f>Test_Bible!AC159</f>
        <v>270</v>
      </c>
    </row>
    <row r="147" spans="1:6" x14ac:dyDescent="0.2">
      <c r="A147" t="s">
        <v>1693</v>
      </c>
      <c r="B147" t="str">
        <f>IF(Test_Bible!B163&lt;&gt;"","O","N")</f>
        <v>O</v>
      </c>
      <c r="C147" t="s">
        <v>777</v>
      </c>
      <c r="D147" s="90">
        <v>10</v>
      </c>
      <c r="E147" s="90">
        <f>Test_Bible!Q163</f>
        <v>10</v>
      </c>
      <c r="F147" s="55">
        <f>Test_Bible!V163</f>
        <v>10</v>
      </c>
    </row>
    <row r="148" spans="1:6" x14ac:dyDescent="0.2">
      <c r="A148" t="s">
        <v>386</v>
      </c>
      <c r="B148" t="str">
        <f>IF(Test_Bible!B165&lt;&gt;"","O","N")</f>
        <v>O</v>
      </c>
      <c r="C148" t="s">
        <v>90</v>
      </c>
      <c r="D148" s="90">
        <v>7</v>
      </c>
      <c r="E148" s="90">
        <f>Test_Bible!Q165</f>
        <v>7</v>
      </c>
    </row>
    <row r="149" spans="1:6" x14ac:dyDescent="0.2">
      <c r="A149" t="s">
        <v>386</v>
      </c>
      <c r="B149" t="str">
        <f>IF(Test_Bible!B166&lt;&gt;"","O","N")</f>
        <v>O</v>
      </c>
      <c r="C149" t="s">
        <v>91</v>
      </c>
      <c r="D149" s="90">
        <v>7</v>
      </c>
      <c r="E149" s="90">
        <f>Test_Bible!Q166</f>
        <v>7</v>
      </c>
    </row>
    <row r="150" spans="1:6" x14ac:dyDescent="0.2">
      <c r="A150" t="s">
        <v>1690</v>
      </c>
      <c r="B150" t="str">
        <f>IF(Test_Bible!B167&lt;&gt;"","O","N")</f>
        <v>O</v>
      </c>
      <c r="C150" t="s">
        <v>92</v>
      </c>
      <c r="D150" s="5">
        <v>1</v>
      </c>
      <c r="E150" s="90"/>
    </row>
    <row r="151" spans="1:6" x14ac:dyDescent="0.2">
      <c r="A151" t="s">
        <v>1693</v>
      </c>
      <c r="B151" t="str">
        <f>IF(Test_Bible!B170&lt;&gt;"","O","N")</f>
        <v>O</v>
      </c>
      <c r="C151" t="s">
        <v>94</v>
      </c>
      <c r="D151" s="90">
        <v>7</v>
      </c>
      <c r="E151" s="90">
        <f>Test_Bible!Q170</f>
        <v>21</v>
      </c>
      <c r="F151" s="55">
        <f>Test_Bible!V170</f>
        <v>21</v>
      </c>
    </row>
    <row r="152" spans="1:6" x14ac:dyDescent="0.2">
      <c r="A152" t="s">
        <v>1693</v>
      </c>
      <c r="B152" t="str">
        <f>IF(Test_Bible!B171&lt;&gt;"","O","N")</f>
        <v>O</v>
      </c>
      <c r="C152" t="s">
        <v>95</v>
      </c>
      <c r="D152" s="90">
        <v>7</v>
      </c>
      <c r="E152" s="90">
        <f>Test_Bible!Q171</f>
        <v>7</v>
      </c>
      <c r="F152" s="55">
        <f>Test_Bible!V171</f>
        <v>8</v>
      </c>
    </row>
    <row r="153" spans="1:6" x14ac:dyDescent="0.2">
      <c r="A153" t="s">
        <v>1693</v>
      </c>
      <c r="B153" t="str">
        <f>IF(Test_Bible!B172&lt;&gt;"","O","N")</f>
        <v>O</v>
      </c>
      <c r="C153" t="s">
        <v>424</v>
      </c>
      <c r="D153" s="90">
        <v>4</v>
      </c>
      <c r="E153" s="90">
        <f>Test_Bible!Q172</f>
        <v>8</v>
      </c>
    </row>
    <row r="154" spans="1:6" x14ac:dyDescent="0.2">
      <c r="A154" t="s">
        <v>1693</v>
      </c>
      <c r="B154" t="str">
        <f>IF(Test_Bible!B173&lt;&gt;"","O","N")</f>
        <v>O</v>
      </c>
      <c r="C154" t="s">
        <v>97</v>
      </c>
      <c r="D154" s="90">
        <v>7</v>
      </c>
      <c r="E154" s="90">
        <f>Test_Bible!Q173</f>
        <v>14</v>
      </c>
      <c r="F154" s="55">
        <f>Test_Bible!V173</f>
        <v>20</v>
      </c>
    </row>
    <row r="155" spans="1:6" x14ac:dyDescent="0.2">
      <c r="A155" t="s">
        <v>1693</v>
      </c>
      <c r="B155" t="str">
        <f>IF(Test_Bible!B174&lt;&gt;"","O","N")</f>
        <v>O</v>
      </c>
      <c r="C155" t="s">
        <v>98</v>
      </c>
      <c r="D155" s="90">
        <v>10</v>
      </c>
      <c r="E155" s="90">
        <f>Test_Bible!Q174</f>
        <v>20</v>
      </c>
    </row>
    <row r="156" spans="1:6" x14ac:dyDescent="0.2">
      <c r="A156" t="s">
        <v>1693</v>
      </c>
      <c r="B156" t="str">
        <f>IF(Test_Bible!B175&lt;&gt;"","O","N")</f>
        <v>O</v>
      </c>
      <c r="C156" t="s">
        <v>99</v>
      </c>
      <c r="D156" s="90">
        <v>7</v>
      </c>
      <c r="E156" s="90">
        <f>Test_Bible!Q175</f>
        <v>14</v>
      </c>
      <c r="F156" s="55">
        <f>Test_Bible!V175</f>
        <v>21</v>
      </c>
    </row>
    <row r="157" spans="1:6" x14ac:dyDescent="0.2">
      <c r="A157" t="s">
        <v>1693</v>
      </c>
      <c r="B157" t="str">
        <f>IF(Test_Bible!B176&lt;&gt;"","O","N")</f>
        <v>O</v>
      </c>
      <c r="C157" t="s">
        <v>100</v>
      </c>
      <c r="D157" s="90">
        <v>7</v>
      </c>
      <c r="E157" s="90">
        <f>Test_Bible!Q176</f>
        <v>21</v>
      </c>
    </row>
    <row r="158" spans="1:6" x14ac:dyDescent="0.2">
      <c r="A158" t="s">
        <v>1693</v>
      </c>
      <c r="B158" t="str">
        <f>IF(Test_Bible!B177&lt;&gt;"","O","N")</f>
        <v>O</v>
      </c>
      <c r="C158" t="s">
        <v>101</v>
      </c>
      <c r="D158" s="90">
        <v>7</v>
      </c>
      <c r="E158" s="90">
        <f>Test_Bible!Q177</f>
        <v>7</v>
      </c>
      <c r="F158" s="55">
        <f>Test_Bible!V177</f>
        <v>7</v>
      </c>
    </row>
    <row r="159" spans="1:6" x14ac:dyDescent="0.2">
      <c r="A159" t="s">
        <v>1693</v>
      </c>
      <c r="B159" t="str">
        <f>IF(Test_Bible!B178&lt;&gt;"","O","N")</f>
        <v>O</v>
      </c>
      <c r="C159" t="s">
        <v>425</v>
      </c>
      <c r="D159" s="90">
        <v>2</v>
      </c>
      <c r="E159" s="90">
        <f>Test_Bible!Q178</f>
        <v>4</v>
      </c>
    </row>
    <row r="160" spans="1:6" x14ac:dyDescent="0.2">
      <c r="A160" t="s">
        <v>1693</v>
      </c>
      <c r="B160" t="str">
        <f>IF(Test_Bible!B179&lt;&gt;"","O","N")</f>
        <v>O</v>
      </c>
      <c r="C160" t="s">
        <v>432</v>
      </c>
      <c r="D160" s="90">
        <v>2</v>
      </c>
      <c r="E160" s="90">
        <f>Test_Bible!Q179</f>
        <v>6</v>
      </c>
    </row>
    <row r="161" spans="1:6" x14ac:dyDescent="0.2">
      <c r="A161" t="s">
        <v>1693</v>
      </c>
      <c r="B161" t="str">
        <f>IF(Test_Bible!B180&lt;&gt;"","O","N")</f>
        <v>O</v>
      </c>
      <c r="C161" t="s">
        <v>102</v>
      </c>
      <c r="D161" s="90">
        <v>7</v>
      </c>
      <c r="E161" s="90">
        <f>Test_Bible!Q180</f>
        <v>7</v>
      </c>
      <c r="F161" s="55">
        <f>Test_Bible!V180</f>
        <v>8</v>
      </c>
    </row>
    <row r="162" spans="1:6" x14ac:dyDescent="0.2">
      <c r="A162" t="s">
        <v>1693</v>
      </c>
      <c r="B162" t="str">
        <f>IF(Test_Bible!B181&lt;&gt;"","O","N")</f>
        <v>O</v>
      </c>
      <c r="C162" t="s">
        <v>103</v>
      </c>
      <c r="D162" s="90">
        <v>4</v>
      </c>
      <c r="E162" s="90">
        <f>Test_Bible!Q181</f>
        <v>8</v>
      </c>
    </row>
    <row r="163" spans="1:6" x14ac:dyDescent="0.2">
      <c r="A163" t="s">
        <v>1693</v>
      </c>
      <c r="B163" t="str">
        <f>IF(Test_Bible!B182&lt;&gt;"","O","N")</f>
        <v>O</v>
      </c>
      <c r="C163" t="s">
        <v>105</v>
      </c>
      <c r="D163" s="90">
        <v>4</v>
      </c>
      <c r="E163" s="90">
        <f>Test_Bible!Q182</f>
        <v>4</v>
      </c>
      <c r="F163" s="55">
        <f>Test_Bible!V182</f>
        <v>4</v>
      </c>
    </row>
    <row r="164" spans="1:6" x14ac:dyDescent="0.2">
      <c r="A164" t="s">
        <v>1693</v>
      </c>
      <c r="B164" t="str">
        <f>IF(Test_Bible!B183&lt;&gt;"","O","N")</f>
        <v>O</v>
      </c>
      <c r="C164" t="s">
        <v>106</v>
      </c>
      <c r="D164" s="90">
        <v>10</v>
      </c>
      <c r="E164" s="90">
        <f>Test_Bible!Q183</f>
        <v>30</v>
      </c>
      <c r="F164" s="55">
        <f>Test_Bible!V183</f>
        <v>30</v>
      </c>
    </row>
    <row r="165" spans="1:6" x14ac:dyDescent="0.2">
      <c r="A165" t="s">
        <v>1693</v>
      </c>
      <c r="B165" t="str">
        <f>IF(Test_Bible!B184&lt;&gt;"","O","N")</f>
        <v>O</v>
      </c>
      <c r="C165" t="s">
        <v>678</v>
      </c>
      <c r="D165" s="90">
        <v>7</v>
      </c>
      <c r="E165" s="90">
        <f>Test_Bible!Q184</f>
        <v>21</v>
      </c>
    </row>
    <row r="166" spans="1:6" x14ac:dyDescent="0.2">
      <c r="A166" t="s">
        <v>1693</v>
      </c>
      <c r="B166" t="str">
        <f>IF(Test_Bible!B185&lt;&gt;"","O","N")</f>
        <v>O</v>
      </c>
      <c r="C166" t="s">
        <v>107</v>
      </c>
      <c r="D166" s="90">
        <v>10</v>
      </c>
      <c r="E166" s="90">
        <f>Test_Bible!Q185</f>
        <v>10</v>
      </c>
      <c r="F166" s="55">
        <f>Test_Bible!V185</f>
        <v>10</v>
      </c>
    </row>
    <row r="167" spans="1:6" x14ac:dyDescent="0.2">
      <c r="A167" t="s">
        <v>1693</v>
      </c>
      <c r="B167" t="str">
        <f>IF(Test_Bible!B186&lt;&gt;"","O","N")</f>
        <v>O</v>
      </c>
      <c r="C167" t="s">
        <v>108</v>
      </c>
      <c r="D167" s="90">
        <v>4</v>
      </c>
      <c r="E167" s="90">
        <f>Test_Bible!Q186</f>
        <v>4</v>
      </c>
      <c r="F167" s="55">
        <f>Test_Bible!V186</f>
        <v>26</v>
      </c>
    </row>
    <row r="168" spans="1:6" x14ac:dyDescent="0.2">
      <c r="A168" t="s">
        <v>1693</v>
      </c>
      <c r="B168" t="str">
        <f>IF(Test_Bible!B187&lt;&gt;"","O","N")</f>
        <v>O</v>
      </c>
      <c r="C168" t="s">
        <v>109</v>
      </c>
      <c r="D168" s="90">
        <v>4</v>
      </c>
      <c r="E168" s="90">
        <f>Test_Bible!Q187</f>
        <v>12</v>
      </c>
    </row>
    <row r="169" spans="1:6" x14ac:dyDescent="0.2">
      <c r="A169" t="s">
        <v>1693</v>
      </c>
      <c r="B169" t="str">
        <f>IF(Test_Bible!B188&lt;&gt;"","O","N")</f>
        <v>N</v>
      </c>
      <c r="C169" t="s">
        <v>110</v>
      </c>
      <c r="D169" s="90"/>
      <c r="E169" s="90">
        <f>Test_Bible!Q188</f>
        <v>0</v>
      </c>
    </row>
    <row r="170" spans="1:6" x14ac:dyDescent="0.2">
      <c r="A170" t="s">
        <v>1693</v>
      </c>
      <c r="B170" t="str">
        <f>IF(Test_Bible!B189&lt;&gt;"","O","N")</f>
        <v>O</v>
      </c>
      <c r="C170" t="s">
        <v>111</v>
      </c>
      <c r="D170" s="90">
        <v>7</v>
      </c>
      <c r="E170" s="90">
        <f>Test_Bible!Q189</f>
        <v>14</v>
      </c>
    </row>
    <row r="171" spans="1:6" x14ac:dyDescent="0.2">
      <c r="A171" t="s">
        <v>1693</v>
      </c>
      <c r="B171" t="str">
        <f>IF(Test_Bible!B190&lt;&gt;"","O","N")</f>
        <v>N</v>
      </c>
      <c r="C171" t="s">
        <v>112</v>
      </c>
      <c r="D171" s="90"/>
      <c r="E171" s="90">
        <f>Test_Bible!Q190</f>
        <v>0</v>
      </c>
      <c r="F171" s="55">
        <f>Test_Bible!V190</f>
        <v>0</v>
      </c>
    </row>
    <row r="172" spans="1:6" x14ac:dyDescent="0.2">
      <c r="A172" t="s">
        <v>1693</v>
      </c>
      <c r="B172" t="str">
        <f>IF(Test_Bible!B191&lt;&gt;"","O","N")</f>
        <v>O</v>
      </c>
      <c r="C172" t="s">
        <v>113</v>
      </c>
      <c r="D172" s="90">
        <v>2</v>
      </c>
      <c r="E172" s="90">
        <f>Test_Bible!Q191</f>
        <v>4</v>
      </c>
      <c r="F172" s="55">
        <f>Test_Bible!V191</f>
        <v>4</v>
      </c>
    </row>
    <row r="173" spans="1:6" x14ac:dyDescent="0.2">
      <c r="A173" t="s">
        <v>1693</v>
      </c>
      <c r="B173" t="str">
        <f>IF(Test_Bible!B192&lt;&gt;"","O","N")</f>
        <v>N</v>
      </c>
      <c r="C173" t="s">
        <v>114</v>
      </c>
      <c r="D173" s="90"/>
      <c r="E173" s="90">
        <f>Test_Bible!Q192</f>
        <v>0</v>
      </c>
    </row>
    <row r="174" spans="1:6" x14ac:dyDescent="0.2">
      <c r="A174" t="s">
        <v>1693</v>
      </c>
      <c r="B174" t="str">
        <f>IF(Test_Bible!B193&lt;&gt;"","O","N")</f>
        <v>O</v>
      </c>
      <c r="C174" t="s">
        <v>115</v>
      </c>
      <c r="D174" s="90">
        <v>7</v>
      </c>
      <c r="E174" s="90">
        <f>Test_Bible!Q193</f>
        <v>14</v>
      </c>
      <c r="F174" s="55">
        <f>Test_Bible!V193</f>
        <v>29</v>
      </c>
    </row>
    <row r="175" spans="1:6" x14ac:dyDescent="0.2">
      <c r="A175" t="s">
        <v>1693</v>
      </c>
      <c r="B175" t="str">
        <f>IF(Test_Bible!B194&lt;&gt;"","O","N")</f>
        <v>O</v>
      </c>
      <c r="C175" t="s">
        <v>116</v>
      </c>
      <c r="D175" s="90">
        <v>4</v>
      </c>
      <c r="E175" s="90">
        <f>Test_Bible!Q194</f>
        <v>8</v>
      </c>
    </row>
    <row r="176" spans="1:6" x14ac:dyDescent="0.2">
      <c r="A176" t="s">
        <v>1693</v>
      </c>
      <c r="B176" t="str">
        <f>IF(Test_Bible!B195&lt;&gt;"","O","N")</f>
        <v>O</v>
      </c>
      <c r="C176" t="s">
        <v>117</v>
      </c>
      <c r="D176" s="90">
        <v>7</v>
      </c>
      <c r="E176" s="90">
        <f>Test_Bible!Q195</f>
        <v>14</v>
      </c>
    </row>
    <row r="177" spans="1:6" x14ac:dyDescent="0.2">
      <c r="A177" t="s">
        <v>1693</v>
      </c>
      <c r="B177" t="str">
        <f>IF(Test_Bible!B196&lt;&gt;"","O","N")</f>
        <v>O</v>
      </c>
      <c r="C177" t="s">
        <v>118</v>
      </c>
      <c r="D177" s="90">
        <v>7</v>
      </c>
      <c r="E177" s="90">
        <f>Test_Bible!Q196</f>
        <v>21</v>
      </c>
    </row>
    <row r="178" spans="1:6" x14ac:dyDescent="0.2">
      <c r="A178" t="s">
        <v>1693</v>
      </c>
      <c r="B178" t="str">
        <f>IF(Test_Bible!B197&lt;&gt;" ","O","N")</f>
        <v>O</v>
      </c>
      <c r="C178" t="s">
        <v>119</v>
      </c>
      <c r="D178" s="90">
        <v>1</v>
      </c>
      <c r="E178" s="90">
        <f>Test_Bible!Q197</f>
        <v>1</v>
      </c>
      <c r="F178" s="55">
        <f>Test_Bible!V197</f>
        <v>1</v>
      </c>
    </row>
    <row r="179" spans="1:6" x14ac:dyDescent="0.2">
      <c r="A179" t="s">
        <v>1693</v>
      </c>
      <c r="B179" t="str">
        <f>IF(Test_Bible!B198&lt;&gt;" ","O","N")</f>
        <v>O</v>
      </c>
      <c r="C179" t="s">
        <v>120</v>
      </c>
      <c r="D179" s="90">
        <v>7</v>
      </c>
      <c r="E179" s="90">
        <f>Test_Bible!Q198</f>
        <v>7</v>
      </c>
      <c r="F179" s="55">
        <f>Test_Bible!V198</f>
        <v>7</v>
      </c>
    </row>
    <row r="180" spans="1:6" x14ac:dyDescent="0.2">
      <c r="A180" t="s">
        <v>1693</v>
      </c>
      <c r="B180" t="str">
        <f>IF(Test_Bible!B199&lt;&gt;" ","O","N")</f>
        <v>O</v>
      </c>
      <c r="C180" t="s">
        <v>122</v>
      </c>
      <c r="D180" s="90">
        <v>7</v>
      </c>
      <c r="E180" s="90">
        <f>Test_Bible!Q199</f>
        <v>14</v>
      </c>
      <c r="F180" s="55">
        <f>Test_Bible!V199</f>
        <v>14</v>
      </c>
    </row>
    <row r="181" spans="1:6" x14ac:dyDescent="0.2">
      <c r="A181" t="s">
        <v>1693</v>
      </c>
      <c r="B181" t="str">
        <f>IF(Test_Bible!B200&lt;&gt;"","O","N")</f>
        <v>O</v>
      </c>
      <c r="C181" t="s">
        <v>123</v>
      </c>
      <c r="D181" s="90">
        <v>4</v>
      </c>
      <c r="E181" s="90">
        <f>Test_Bible!Q200</f>
        <v>12</v>
      </c>
    </row>
    <row r="182" spans="1:6" x14ac:dyDescent="0.2">
      <c r="A182" t="s">
        <v>1693</v>
      </c>
      <c r="B182" t="str">
        <f>IF(Test_Bible!B201&lt;&gt;" ","O","N")</f>
        <v>O</v>
      </c>
      <c r="C182" t="s">
        <v>124</v>
      </c>
      <c r="D182" s="90">
        <v>10</v>
      </c>
      <c r="E182" s="90">
        <f>Test_Bible!Q201</f>
        <v>10</v>
      </c>
      <c r="F182" s="55">
        <f>Test_Bible!V201</f>
        <v>14</v>
      </c>
    </row>
    <row r="183" spans="1:6" x14ac:dyDescent="0.2">
      <c r="A183" t="s">
        <v>1693</v>
      </c>
      <c r="B183" t="str">
        <f>IF(Test_Bible!B202&lt;&gt;"","O","N")</f>
        <v>O</v>
      </c>
      <c r="C183" t="s">
        <v>125</v>
      </c>
      <c r="D183" s="90">
        <v>7</v>
      </c>
      <c r="E183" s="90">
        <f>Test_Bible!Q202</f>
        <v>14</v>
      </c>
    </row>
    <row r="184" spans="1:6" x14ac:dyDescent="0.2">
      <c r="A184" t="s">
        <v>1693</v>
      </c>
      <c r="B184" t="str">
        <f>IF(Test_Bible!B203&lt;&gt;"","O","N")</f>
        <v>O</v>
      </c>
      <c r="C184" t="s">
        <v>1139</v>
      </c>
      <c r="D184" s="90">
        <v>2</v>
      </c>
      <c r="E184" s="90">
        <f>Test_Bible!Q203</f>
        <v>6</v>
      </c>
    </row>
    <row r="185" spans="1:6" x14ac:dyDescent="0.2">
      <c r="A185" t="s">
        <v>1693</v>
      </c>
      <c r="B185" t="str">
        <f>IF(Test_Bible!B204&lt;&gt;"","O","N")</f>
        <v>N</v>
      </c>
      <c r="C185" t="s">
        <v>1140</v>
      </c>
      <c r="D185" s="90"/>
      <c r="E185" s="90">
        <f>Test_Bible!Q204</f>
        <v>0</v>
      </c>
    </row>
    <row r="186" spans="1:6" x14ac:dyDescent="0.2">
      <c r="A186" t="s">
        <v>1693</v>
      </c>
      <c r="B186" t="str">
        <f>IF(Test_Bible!B205&lt;&gt;" ","O","N")</f>
        <v>O</v>
      </c>
      <c r="C186" t="s">
        <v>126</v>
      </c>
      <c r="D186" s="90">
        <v>10</v>
      </c>
      <c r="E186" s="90">
        <f>Test_Bible!Q205</f>
        <v>10</v>
      </c>
      <c r="F186" s="55">
        <f>Test_Bible!V205</f>
        <v>10</v>
      </c>
    </row>
    <row r="187" spans="1:6" x14ac:dyDescent="0.2">
      <c r="A187" t="s">
        <v>1693</v>
      </c>
      <c r="B187" t="str">
        <f>IF(Test_Bible!B206&lt;&gt;" ","O","N")</f>
        <v>O</v>
      </c>
      <c r="C187" t="s">
        <v>1085</v>
      </c>
      <c r="D187" s="90">
        <v>7</v>
      </c>
      <c r="E187" s="90">
        <f>Test_Bible!Q206</f>
        <v>14</v>
      </c>
      <c r="F187" s="55">
        <f>Test_Bible!V206</f>
        <v>14</v>
      </c>
    </row>
    <row r="188" spans="1:6" x14ac:dyDescent="0.2">
      <c r="A188" t="s">
        <v>1693</v>
      </c>
      <c r="B188" t="str">
        <f>IF(Test_Bible!B207&lt;&gt;" ","O","N")</f>
        <v>O</v>
      </c>
      <c r="C188" t="s">
        <v>127</v>
      </c>
      <c r="D188" s="90">
        <v>10</v>
      </c>
      <c r="E188" s="90">
        <f>Test_Bible!Q207</f>
        <v>10</v>
      </c>
      <c r="F188" s="55">
        <f>Test_Bible!V207</f>
        <v>10</v>
      </c>
    </row>
    <row r="189" spans="1:6" x14ac:dyDescent="0.2">
      <c r="A189" t="s">
        <v>1693</v>
      </c>
      <c r="B189" t="str">
        <f>IF(Test_Bible!B208&lt;&gt;" ","O","N")</f>
        <v>O</v>
      </c>
      <c r="C189" t="s">
        <v>128</v>
      </c>
      <c r="D189" s="90">
        <v>4</v>
      </c>
      <c r="E189" s="90">
        <f>Test_Bible!Q208</f>
        <v>4</v>
      </c>
      <c r="F189" s="55">
        <f>Test_Bible!V208</f>
        <v>4</v>
      </c>
    </row>
    <row r="190" spans="1:6" x14ac:dyDescent="0.2">
      <c r="A190" t="s">
        <v>1693</v>
      </c>
      <c r="B190" t="str">
        <f>IF(Test_Bible!B209&lt;&gt;"","O","N")</f>
        <v>O</v>
      </c>
      <c r="C190" t="s">
        <v>1130</v>
      </c>
      <c r="D190" s="90">
        <v>2</v>
      </c>
      <c r="E190" s="90">
        <f>Test_Bible!Q209</f>
        <v>4</v>
      </c>
    </row>
    <row r="191" spans="1:6" x14ac:dyDescent="0.2">
      <c r="A191" t="s">
        <v>1693</v>
      </c>
      <c r="B191" t="str">
        <f>IF(Test_Bible!B210&lt;&gt;" ","O","N")</f>
        <v>O</v>
      </c>
      <c r="C191" t="s">
        <v>129</v>
      </c>
      <c r="D191" s="90">
        <v>7</v>
      </c>
      <c r="E191" s="90">
        <f>Test_Bible!Q210</f>
        <v>14</v>
      </c>
      <c r="F191" s="55">
        <f>Test_Bible!V210</f>
        <v>14</v>
      </c>
    </row>
    <row r="192" spans="1:6" x14ac:dyDescent="0.2">
      <c r="A192" t="s">
        <v>1693</v>
      </c>
      <c r="B192" t="str">
        <f>IF(Test_Bible!B211&lt;&gt;" ","O","N")</f>
        <v>O</v>
      </c>
      <c r="C192" t="s">
        <v>130</v>
      </c>
      <c r="D192" s="90">
        <v>4</v>
      </c>
      <c r="E192" s="90">
        <f>Test_Bible!Q211</f>
        <v>8</v>
      </c>
      <c r="F192" s="55">
        <f>Test_Bible!V211</f>
        <v>8</v>
      </c>
    </row>
    <row r="193" spans="1:6" x14ac:dyDescent="0.2">
      <c r="A193" t="s">
        <v>1690</v>
      </c>
      <c r="B193" t="str">
        <f>IF(Test_Bible!B212&lt;&gt;"","O","N")</f>
        <v>O</v>
      </c>
      <c r="C193" t="s">
        <v>131</v>
      </c>
      <c r="D193" s="90">
        <v>2</v>
      </c>
      <c r="E193" s="90"/>
    </row>
    <row r="194" spans="1:6" x14ac:dyDescent="0.2">
      <c r="A194" t="s">
        <v>1693</v>
      </c>
      <c r="B194" t="str">
        <f>IF(Test_Bible!B216&lt;&gt;" ","O","N")</f>
        <v>O</v>
      </c>
      <c r="C194" t="s">
        <v>133</v>
      </c>
      <c r="D194" s="90">
        <v>10</v>
      </c>
      <c r="E194" s="90">
        <f>Test_Bible!Q216</f>
        <v>20</v>
      </c>
      <c r="F194" s="55">
        <f>Test_Bible!V216</f>
        <v>20</v>
      </c>
    </row>
    <row r="195" spans="1:6" x14ac:dyDescent="0.2">
      <c r="A195" t="s">
        <v>1693</v>
      </c>
      <c r="B195" t="str">
        <f>IF(Test_Bible!B217&lt;&gt;"","O","N")</f>
        <v>N</v>
      </c>
      <c r="C195" t="s">
        <v>134</v>
      </c>
      <c r="D195" s="90"/>
      <c r="E195" s="90">
        <f>Test_Bible!Q217</f>
        <v>0</v>
      </c>
      <c r="F195" s="55">
        <f>Test_Bible!V217</f>
        <v>0</v>
      </c>
    </row>
    <row r="196" spans="1:6" x14ac:dyDescent="0.2">
      <c r="A196" t="s">
        <v>1693</v>
      </c>
      <c r="B196" t="str">
        <f>IF(Test_Bible!B218&lt;&gt;"","O","N")</f>
        <v>O</v>
      </c>
      <c r="C196" t="s">
        <v>135</v>
      </c>
      <c r="D196" s="90">
        <v>7</v>
      </c>
      <c r="E196" s="90">
        <f>Test_Bible!Q218</f>
        <v>14</v>
      </c>
      <c r="F196" s="55">
        <f>Test_Bible!V218</f>
        <v>14</v>
      </c>
    </row>
    <row r="197" spans="1:6" x14ac:dyDescent="0.2">
      <c r="A197" t="s">
        <v>1693</v>
      </c>
      <c r="B197" t="str">
        <f>IF(Test_Bible!B219&lt;&gt;"","O","N")</f>
        <v>O</v>
      </c>
      <c r="C197" t="s">
        <v>136</v>
      </c>
      <c r="D197" s="90">
        <v>4</v>
      </c>
      <c r="E197" s="90">
        <f>Test_Bible!Q219</f>
        <v>12</v>
      </c>
    </row>
    <row r="198" spans="1:6" x14ac:dyDescent="0.2">
      <c r="A198" t="s">
        <v>1693</v>
      </c>
      <c r="B198" t="str">
        <f>IF(Test_Bible!B220&lt;&gt;"","O","N")</f>
        <v>N</v>
      </c>
      <c r="C198" t="s">
        <v>1043</v>
      </c>
      <c r="D198" s="90"/>
      <c r="E198" s="90">
        <f>Test_Bible!Q220</f>
        <v>0</v>
      </c>
      <c r="F198" s="55">
        <f>Test_Bible!V220</f>
        <v>0</v>
      </c>
    </row>
    <row r="199" spans="1:6" x14ac:dyDescent="0.2">
      <c r="A199" t="s">
        <v>1693</v>
      </c>
      <c r="B199" t="str">
        <f>IF(Test_Bible!B221&lt;&gt;"","O","N")</f>
        <v>O</v>
      </c>
      <c r="C199" t="s">
        <v>137</v>
      </c>
      <c r="D199" s="90">
        <v>7</v>
      </c>
      <c r="E199" s="90">
        <f>Test_Bible!Q221</f>
        <v>14</v>
      </c>
      <c r="F199" s="55">
        <f>Test_Bible!V221</f>
        <v>14</v>
      </c>
    </row>
    <row r="200" spans="1:6" x14ac:dyDescent="0.2">
      <c r="A200" t="s">
        <v>1694</v>
      </c>
      <c r="B200" t="str">
        <f>IF(Test_Bible!B223&lt;&gt;"","O","N")</f>
        <v>O</v>
      </c>
      <c r="C200" s="45" t="s">
        <v>138</v>
      </c>
      <c r="D200" s="90">
        <v>1</v>
      </c>
      <c r="E200" s="90">
        <f>Test_Bible!P222</f>
        <v>25</v>
      </c>
    </row>
    <row r="201" spans="1:6" x14ac:dyDescent="0.2">
      <c r="A201" t="s">
        <v>1694</v>
      </c>
      <c r="B201" t="str">
        <f>B200</f>
        <v>O</v>
      </c>
      <c r="C201" s="45" t="s">
        <v>138</v>
      </c>
      <c r="D201" s="90"/>
      <c r="E201" s="90"/>
    </row>
    <row r="202" spans="1:6" x14ac:dyDescent="0.2">
      <c r="A202" t="s">
        <v>1694</v>
      </c>
      <c r="B202" t="str">
        <f t="shared" ref="B202:B205" si="5">B201</f>
        <v>O</v>
      </c>
      <c r="C202" s="45" t="s">
        <v>138</v>
      </c>
      <c r="D202" s="90">
        <v>1</v>
      </c>
      <c r="E202" s="90"/>
    </row>
    <row r="203" spans="1:6" x14ac:dyDescent="0.2">
      <c r="A203" t="s">
        <v>1694</v>
      </c>
      <c r="B203" t="str">
        <f t="shared" si="5"/>
        <v>O</v>
      </c>
      <c r="C203" s="45" t="s">
        <v>138</v>
      </c>
      <c r="D203" s="90">
        <v>1</v>
      </c>
      <c r="E203" s="90"/>
    </row>
    <row r="204" spans="1:6" x14ac:dyDescent="0.2">
      <c r="A204" t="s">
        <v>1694</v>
      </c>
      <c r="B204" t="str">
        <f t="shared" si="5"/>
        <v>O</v>
      </c>
      <c r="C204" s="45" t="s">
        <v>138</v>
      </c>
      <c r="D204" s="90">
        <v>1</v>
      </c>
      <c r="E204" s="90"/>
    </row>
    <row r="205" spans="1:6" x14ac:dyDescent="0.2">
      <c r="A205" t="s">
        <v>1694</v>
      </c>
      <c r="B205" t="str">
        <f t="shared" si="5"/>
        <v>O</v>
      </c>
      <c r="C205" s="45" t="s">
        <v>138</v>
      </c>
      <c r="D205" s="90"/>
      <c r="E205" s="90"/>
    </row>
    <row r="206" spans="1:6" x14ac:dyDescent="0.2">
      <c r="A206" t="s">
        <v>1694</v>
      </c>
      <c r="B206" t="str">
        <f>IF(Test_Bible!B231&lt;&gt;"","O","N")</f>
        <v>O</v>
      </c>
      <c r="C206" t="s">
        <v>1168</v>
      </c>
      <c r="D206" s="90">
        <v>1</v>
      </c>
      <c r="E206" s="90"/>
    </row>
    <row r="207" spans="1:6" x14ac:dyDescent="0.2">
      <c r="A207" t="s">
        <v>1693</v>
      </c>
      <c r="B207" t="str">
        <f>IF(Test_Bible!B234&lt;&gt;"","O","N")</f>
        <v>O</v>
      </c>
      <c r="C207" t="s">
        <v>140</v>
      </c>
      <c r="D207" s="90">
        <v>7</v>
      </c>
      <c r="E207" s="90">
        <f>Test_Bible!Q234</f>
        <v>21</v>
      </c>
      <c r="F207" s="55">
        <f>Test_Bible!V234</f>
        <v>21</v>
      </c>
    </row>
    <row r="208" spans="1:6" x14ac:dyDescent="0.2">
      <c r="A208" t="s">
        <v>1693</v>
      </c>
      <c r="B208" t="str">
        <f>IF(Test_Bible!B235&lt;&gt;"","O","N")</f>
        <v>O</v>
      </c>
      <c r="C208" t="s">
        <v>141</v>
      </c>
      <c r="D208" s="90">
        <v>7</v>
      </c>
      <c r="E208" s="90">
        <f>Test_Bible!Q235</f>
        <v>21</v>
      </c>
    </row>
    <row r="209" spans="1:6" x14ac:dyDescent="0.2">
      <c r="A209" t="s">
        <v>1693</v>
      </c>
      <c r="B209" t="str">
        <f>IF(Test_Bible!B236&lt;&gt;"","O","N")</f>
        <v>N</v>
      </c>
      <c r="C209" t="s">
        <v>142</v>
      </c>
      <c r="D209" s="90"/>
      <c r="E209" s="90">
        <f>Test_Bible!Q236</f>
        <v>0</v>
      </c>
    </row>
    <row r="210" spans="1:6" x14ac:dyDescent="0.2">
      <c r="A210" t="s">
        <v>1694</v>
      </c>
      <c r="B210" t="str">
        <f>IF(Test_Bible!B238&lt;&gt;"","O","N")</f>
        <v>O</v>
      </c>
      <c r="C210" s="45" t="s">
        <v>594</v>
      </c>
      <c r="D210" s="90">
        <v>1</v>
      </c>
      <c r="E210" s="90">
        <f>Test_Bible!P237</f>
        <v>20</v>
      </c>
    </row>
    <row r="211" spans="1:6" x14ac:dyDescent="0.2">
      <c r="A211" t="s">
        <v>1694</v>
      </c>
      <c r="B211" t="str">
        <f>B210</f>
        <v>O</v>
      </c>
      <c r="C211" s="45" t="s">
        <v>594</v>
      </c>
      <c r="D211" s="90"/>
      <c r="E211" s="90"/>
    </row>
    <row r="212" spans="1:6" x14ac:dyDescent="0.2">
      <c r="A212" t="s">
        <v>1694</v>
      </c>
      <c r="B212" t="str">
        <f t="shared" ref="B212:B213" si="6">B211</f>
        <v>O</v>
      </c>
      <c r="C212" s="45" t="s">
        <v>594</v>
      </c>
      <c r="D212" s="90">
        <v>1</v>
      </c>
      <c r="E212" s="90"/>
    </row>
    <row r="213" spans="1:6" x14ac:dyDescent="0.2">
      <c r="A213" t="s">
        <v>1694</v>
      </c>
      <c r="B213" t="str">
        <f t="shared" si="6"/>
        <v>O</v>
      </c>
      <c r="C213" s="45" t="s">
        <v>594</v>
      </c>
      <c r="D213" s="90"/>
      <c r="E213" s="90"/>
    </row>
    <row r="214" spans="1:6" x14ac:dyDescent="0.2">
      <c r="A214" t="s">
        <v>1693</v>
      </c>
      <c r="B214" t="str">
        <f>IF(Test_Bible!B243&lt;&gt;"","O","N")</f>
        <v>O</v>
      </c>
      <c r="C214" t="s">
        <v>143</v>
      </c>
      <c r="D214" s="90">
        <v>4</v>
      </c>
      <c r="E214" s="90">
        <f>Test_Bible!Q243</f>
        <v>4</v>
      </c>
      <c r="F214" s="55">
        <f>Test_Bible!V243</f>
        <v>8</v>
      </c>
    </row>
    <row r="215" spans="1:6" x14ac:dyDescent="0.2">
      <c r="A215" t="s">
        <v>1693</v>
      </c>
      <c r="B215" t="str">
        <f>IF(Test_Bible!B244&lt;&gt;"","O","N")</f>
        <v>O</v>
      </c>
      <c r="C215" t="s">
        <v>144</v>
      </c>
      <c r="D215" s="90">
        <v>4</v>
      </c>
      <c r="E215" s="90">
        <f>Test_Bible!Q244</f>
        <v>8</v>
      </c>
    </row>
    <row r="216" spans="1:6" x14ac:dyDescent="0.2">
      <c r="A216" t="s">
        <v>1693</v>
      </c>
      <c r="B216" t="str">
        <f>IF(Test_Bible!B245&lt;&gt;"","O","N")</f>
        <v>O</v>
      </c>
      <c r="C216" t="s">
        <v>145</v>
      </c>
      <c r="D216" s="90">
        <v>4</v>
      </c>
      <c r="E216" s="90">
        <f>Test_Bible!Q245</f>
        <v>8</v>
      </c>
    </row>
    <row r="217" spans="1:6" x14ac:dyDescent="0.2">
      <c r="A217" t="s">
        <v>1693</v>
      </c>
      <c r="B217" t="str">
        <f>IF(Test_Bible!B246&lt;&gt;"","O","N")</f>
        <v>O</v>
      </c>
      <c r="C217" t="s">
        <v>146</v>
      </c>
      <c r="D217" s="90">
        <v>4</v>
      </c>
      <c r="E217" s="90">
        <f>Test_Bible!Q246</f>
        <v>12</v>
      </c>
      <c r="F217" s="55">
        <f>Test_Bible!V246</f>
        <v>12</v>
      </c>
    </row>
    <row r="218" spans="1:6" x14ac:dyDescent="0.2">
      <c r="A218" t="s">
        <v>1693</v>
      </c>
      <c r="B218" t="str">
        <f>IF(Test_Bible!B247&lt;&gt;"","O","N")</f>
        <v>N</v>
      </c>
      <c r="C218" t="s">
        <v>147</v>
      </c>
      <c r="D218" s="90"/>
      <c r="E218" s="90">
        <f>Test_Bible!Q247</f>
        <v>0</v>
      </c>
      <c r="F218" s="55">
        <f>Test_Bible!V247</f>
        <v>0</v>
      </c>
    </row>
    <row r="219" spans="1:6" x14ac:dyDescent="0.2">
      <c r="A219" t="s">
        <v>1693</v>
      </c>
      <c r="B219" t="str">
        <f>IF(Test_Bible!B248&lt;&gt;"","O","N")</f>
        <v>O</v>
      </c>
      <c r="C219" t="s">
        <v>149</v>
      </c>
      <c r="D219" s="90">
        <v>4</v>
      </c>
      <c r="E219" s="90">
        <f>Test_Bible!Q248</f>
        <v>8</v>
      </c>
      <c r="F219" s="55">
        <f>Test_Bible!V248</f>
        <v>8</v>
      </c>
    </row>
    <row r="220" spans="1:6" x14ac:dyDescent="0.2">
      <c r="A220" t="s">
        <v>1693</v>
      </c>
      <c r="B220" t="str">
        <f>IF(Test_Bible!B249&lt;&gt;"","O","N")</f>
        <v>N</v>
      </c>
      <c r="C220" t="s">
        <v>150</v>
      </c>
      <c r="D220" s="90"/>
      <c r="E220" s="90">
        <f>Test_Bible!Q249</f>
        <v>0</v>
      </c>
      <c r="F220" s="55">
        <f>Test_Bible!V249</f>
        <v>0</v>
      </c>
    </row>
    <row r="221" spans="1:6" x14ac:dyDescent="0.2">
      <c r="A221" t="s">
        <v>1693</v>
      </c>
      <c r="B221" t="str">
        <f>IF(Test_Bible!B250&lt;&gt;"","O","N")</f>
        <v>N</v>
      </c>
      <c r="C221" t="s">
        <v>151</v>
      </c>
      <c r="D221" s="90"/>
      <c r="E221" s="90">
        <f>Test_Bible!Q250</f>
        <v>0</v>
      </c>
      <c r="F221" s="55">
        <f>Test_Bible!V250</f>
        <v>0</v>
      </c>
    </row>
    <row r="222" spans="1:6" x14ac:dyDescent="0.2">
      <c r="A222" t="s">
        <v>1694</v>
      </c>
      <c r="B222" t="str">
        <f>IF(Test_Bible!B252&lt;&gt;"","O","N")</f>
        <v>N</v>
      </c>
      <c r="C222" s="45" t="s">
        <v>152</v>
      </c>
      <c r="D222" s="90"/>
      <c r="E222" s="90">
        <f>Test_Bible!P251</f>
        <v>0</v>
      </c>
      <c r="F222" s="55"/>
    </row>
    <row r="223" spans="1:6" x14ac:dyDescent="0.2">
      <c r="A223" t="s">
        <v>1694</v>
      </c>
      <c r="B223" t="str">
        <f>B222</f>
        <v>N</v>
      </c>
      <c r="C223" s="45" t="s">
        <v>152</v>
      </c>
      <c r="D223" s="90"/>
    </row>
    <row r="224" spans="1:6" x14ac:dyDescent="0.2">
      <c r="A224" t="s">
        <v>1694</v>
      </c>
      <c r="B224" t="str">
        <f t="shared" ref="B224:B227" si="7">B223</f>
        <v>N</v>
      </c>
      <c r="C224" s="45" t="s">
        <v>152</v>
      </c>
      <c r="D224" s="90"/>
    </row>
    <row r="225" spans="1:13" x14ac:dyDescent="0.2">
      <c r="A225" t="s">
        <v>1694</v>
      </c>
      <c r="B225" t="str">
        <f t="shared" si="7"/>
        <v>N</v>
      </c>
      <c r="C225" s="45" t="s">
        <v>152</v>
      </c>
      <c r="D225" s="90"/>
    </row>
    <row r="226" spans="1:13" x14ac:dyDescent="0.2">
      <c r="A226" t="s">
        <v>1694</v>
      </c>
      <c r="B226" t="str">
        <f t="shared" si="7"/>
        <v>N</v>
      </c>
      <c r="C226" s="45" t="s">
        <v>152</v>
      </c>
      <c r="D226" s="90"/>
    </row>
    <row r="227" spans="1:13" x14ac:dyDescent="0.2">
      <c r="A227" t="s">
        <v>1694</v>
      </c>
      <c r="B227" t="str">
        <f t="shared" si="7"/>
        <v>N</v>
      </c>
      <c r="C227" s="45" t="s">
        <v>152</v>
      </c>
      <c r="D227" s="90"/>
    </row>
    <row r="228" spans="1:13" x14ac:dyDescent="0.2">
      <c r="C228" s="1491"/>
      <c r="D228" s="1492"/>
      <c r="E228" s="1492"/>
      <c r="F228" s="1491"/>
      <c r="G228" s="1493">
        <f>Test_Bible!V259</f>
        <v>391</v>
      </c>
      <c r="H228" s="1493">
        <f>Test_Bible!X259</f>
        <v>0</v>
      </c>
      <c r="I228" s="1493">
        <f>Test_Bible!Y259</f>
        <v>66</v>
      </c>
      <c r="J228" s="1493">
        <f>Test_Bible!Z259</f>
        <v>132</v>
      </c>
      <c r="K228" s="1493">
        <f>Test_Bible!AA259</f>
        <v>264</v>
      </c>
      <c r="L228" s="1493">
        <f>Test_Bible!AB259</f>
        <v>462</v>
      </c>
      <c r="M228" s="1493">
        <f>Test_Bible!AC259</f>
        <v>660</v>
      </c>
    </row>
    <row r="242" spans="1:6" x14ac:dyDescent="0.2">
      <c r="A242" t="s">
        <v>386</v>
      </c>
      <c r="B242" t="str">
        <f>IF(Test_Bible!B263&lt;&gt;"","O","N")</f>
        <v>O</v>
      </c>
      <c r="C242" t="s">
        <v>155</v>
      </c>
      <c r="D242" s="90">
        <v>9</v>
      </c>
      <c r="E242" s="90">
        <f>Test_Bible!Q263</f>
        <v>9</v>
      </c>
    </row>
    <row r="243" spans="1:6" x14ac:dyDescent="0.2">
      <c r="A243" t="s">
        <v>386</v>
      </c>
      <c r="B243" t="str">
        <f>IF(Test_Bible!B264&lt;&gt;"","O","N")</f>
        <v>O</v>
      </c>
      <c r="C243" t="s">
        <v>156</v>
      </c>
      <c r="D243" s="90">
        <v>5</v>
      </c>
      <c r="E243" s="90">
        <f>Test_Bible!Q264</f>
        <v>5</v>
      </c>
    </row>
    <row r="244" spans="1:6" x14ac:dyDescent="0.2">
      <c r="A244" t="s">
        <v>386</v>
      </c>
      <c r="B244" t="str">
        <f>IF(Test_Bible!B265&lt;&gt;"","O","N")</f>
        <v>N</v>
      </c>
      <c r="C244" t="s">
        <v>312</v>
      </c>
      <c r="D244" s="90"/>
      <c r="E244" s="90">
        <f>Test_Bible!Q265</f>
        <v>0</v>
      </c>
    </row>
    <row r="245" spans="1:6" x14ac:dyDescent="0.2">
      <c r="A245" t="s">
        <v>1693</v>
      </c>
      <c r="B245" t="str">
        <f>IF(Test_Bible!B267&lt;&gt;"","O","N")</f>
        <v>O</v>
      </c>
      <c r="C245" t="s">
        <v>313</v>
      </c>
      <c r="D245" s="90">
        <v>2</v>
      </c>
      <c r="E245" s="90">
        <f>Test_Bible!Q267</f>
        <v>2</v>
      </c>
      <c r="F245" s="55">
        <f>Test_Bible!V267</f>
        <v>2</v>
      </c>
    </row>
    <row r="246" spans="1:6" x14ac:dyDescent="0.2">
      <c r="A246" t="s">
        <v>1693</v>
      </c>
      <c r="B246" t="str">
        <f>IF(Test_Bible!B268&lt;&gt;"","O","N")</f>
        <v>N</v>
      </c>
      <c r="C246" t="s">
        <v>157</v>
      </c>
      <c r="D246" s="90"/>
      <c r="E246" s="90">
        <f>Test_Bible!Q268</f>
        <v>0</v>
      </c>
    </row>
    <row r="247" spans="1:6" x14ac:dyDescent="0.2">
      <c r="A247" t="s">
        <v>1693</v>
      </c>
      <c r="B247" t="str">
        <f>IF(Test_Bible!B269&lt;&gt;"","O","N")</f>
        <v>O</v>
      </c>
      <c r="C247" t="s">
        <v>158</v>
      </c>
      <c r="D247" s="90">
        <v>0</v>
      </c>
      <c r="E247" s="90">
        <f>Test_Bible!Q269</f>
        <v>0</v>
      </c>
      <c r="F247" s="55">
        <f>Test_Bible!V269</f>
        <v>0</v>
      </c>
    </row>
    <row r="248" spans="1:6" x14ac:dyDescent="0.2">
      <c r="A248" t="s">
        <v>1693</v>
      </c>
      <c r="B248" t="str">
        <f>IF(Test_Bible!B270&lt;&gt;"","O","N")</f>
        <v>N</v>
      </c>
      <c r="C248" t="s">
        <v>159</v>
      </c>
      <c r="D248" s="90"/>
      <c r="E248" s="90">
        <f>Test_Bible!Q270</f>
        <v>0</v>
      </c>
    </row>
    <row r="249" spans="1:6" x14ac:dyDescent="0.2">
      <c r="A249" t="s">
        <v>1693</v>
      </c>
      <c r="B249" t="str">
        <f>IF(Test_Bible!B271&lt;&gt;"","O","N")</f>
        <v>N</v>
      </c>
      <c r="C249" t="s">
        <v>1371</v>
      </c>
      <c r="D249" s="90"/>
      <c r="E249" s="90">
        <f>Test_Bible!Q271</f>
        <v>0</v>
      </c>
    </row>
    <row r="250" spans="1:6" x14ac:dyDescent="0.2">
      <c r="A250" t="s">
        <v>1693</v>
      </c>
      <c r="B250" t="str">
        <f>IF(Test_Bible!B272&lt;&gt;"","O","N")</f>
        <v>O</v>
      </c>
      <c r="C250" t="s">
        <v>160</v>
      </c>
      <c r="D250" s="90">
        <v>2</v>
      </c>
      <c r="E250" s="90">
        <f>Test_Bible!Q272</f>
        <v>4</v>
      </c>
      <c r="F250" s="55">
        <f>Test_Bible!V272</f>
        <v>4</v>
      </c>
    </row>
    <row r="251" spans="1:6" x14ac:dyDescent="0.2">
      <c r="A251" t="s">
        <v>1694</v>
      </c>
      <c r="B251" t="str">
        <f>IF(Test_Bible!B274&lt;&gt;"","O","N")</f>
        <v>N</v>
      </c>
      <c r="C251" s="45" t="s">
        <v>161</v>
      </c>
      <c r="D251" s="90"/>
      <c r="E251" s="90">
        <f>Test_Bible!P273</f>
        <v>0</v>
      </c>
    </row>
    <row r="252" spans="1:6" x14ac:dyDescent="0.2">
      <c r="A252" t="s">
        <v>1694</v>
      </c>
      <c r="B252" t="str">
        <f>B251</f>
        <v>N</v>
      </c>
      <c r="C252" s="45" t="s">
        <v>161</v>
      </c>
      <c r="D252" s="90"/>
      <c r="E252" s="90"/>
    </row>
    <row r="253" spans="1:6" x14ac:dyDescent="0.2">
      <c r="A253" t="s">
        <v>1694</v>
      </c>
      <c r="B253" t="str">
        <f t="shared" ref="B253:B254" si="8">B252</f>
        <v>N</v>
      </c>
      <c r="C253" s="45" t="s">
        <v>161</v>
      </c>
      <c r="D253" s="90"/>
      <c r="E253" s="90"/>
    </row>
    <row r="254" spans="1:6" x14ac:dyDescent="0.2">
      <c r="A254" t="s">
        <v>1694</v>
      </c>
      <c r="B254" t="str">
        <f t="shared" si="8"/>
        <v>N</v>
      </c>
      <c r="C254" s="45" t="s">
        <v>161</v>
      </c>
      <c r="D254" s="90"/>
      <c r="E254" s="90"/>
    </row>
    <row r="255" spans="1:6" x14ac:dyDescent="0.2">
      <c r="A255" t="s">
        <v>1693</v>
      </c>
      <c r="B255" t="str">
        <f>IF(Test_Bible!B278&lt;&gt;"","O","N")</f>
        <v>O</v>
      </c>
      <c r="C255" t="s">
        <v>162</v>
      </c>
      <c r="D255" s="90">
        <v>1</v>
      </c>
      <c r="E255" s="90">
        <f>Test_Bible!Q278</f>
        <v>1</v>
      </c>
      <c r="F255" s="55">
        <f>Test_Bible!V278</f>
        <v>1</v>
      </c>
    </row>
    <row r="256" spans="1:6" x14ac:dyDescent="0.2">
      <c r="A256" t="s">
        <v>1693</v>
      </c>
      <c r="B256" t="str">
        <f>IF(Test_Bible!B279&lt;&gt;"","O","N")</f>
        <v>N</v>
      </c>
      <c r="C256" t="s">
        <v>163</v>
      </c>
      <c r="D256" s="90"/>
      <c r="E256" s="90">
        <f>Test_Bible!Q279</f>
        <v>0</v>
      </c>
    </row>
    <row r="257" spans="1:6" x14ac:dyDescent="0.2">
      <c r="A257" t="s">
        <v>1693</v>
      </c>
      <c r="B257" t="str">
        <f>IF(Test_Bible!B280&lt;&gt;"","O","N")</f>
        <v>N</v>
      </c>
      <c r="C257" t="s">
        <v>591</v>
      </c>
      <c r="D257" s="90"/>
      <c r="E257" s="90">
        <f>Test_Bible!Q280</f>
        <v>0</v>
      </c>
    </row>
    <row r="258" spans="1:6" x14ac:dyDescent="0.2">
      <c r="A258" t="s">
        <v>1693</v>
      </c>
      <c r="B258" t="str">
        <f>IF(Test_Bible!B281&lt;&gt;"","O","N")</f>
        <v>O</v>
      </c>
      <c r="C258" t="s">
        <v>165</v>
      </c>
      <c r="D258" s="90">
        <v>7</v>
      </c>
      <c r="E258" s="90">
        <f>Test_Bible!Q281</f>
        <v>7</v>
      </c>
      <c r="F258" s="55">
        <f>Test_Bible!V281</f>
        <v>7</v>
      </c>
    </row>
    <row r="259" spans="1:6" x14ac:dyDescent="0.2">
      <c r="A259" t="s">
        <v>1693</v>
      </c>
      <c r="B259" t="str">
        <f>IF(Test_Bible!B282&lt;&gt;"","O","N")</f>
        <v>O</v>
      </c>
      <c r="C259" t="s">
        <v>914</v>
      </c>
      <c r="D259" s="90">
        <v>2</v>
      </c>
      <c r="E259" s="90">
        <f>Test_Bible!Q282</f>
        <v>2</v>
      </c>
      <c r="F259" s="55">
        <f>Test_Bible!V282</f>
        <v>2</v>
      </c>
    </row>
    <row r="260" spans="1:6" x14ac:dyDescent="0.2">
      <c r="A260" t="s">
        <v>1693</v>
      </c>
      <c r="B260" t="str">
        <f>IF(Test_Bible!B283&lt;&gt;"","O","N")</f>
        <v>O</v>
      </c>
      <c r="C260" t="s">
        <v>166</v>
      </c>
      <c r="D260" s="90">
        <v>2</v>
      </c>
      <c r="E260" s="90">
        <f>Test_Bible!Q283</f>
        <v>4</v>
      </c>
      <c r="F260" s="55">
        <f>Test_Bible!V283</f>
        <v>4</v>
      </c>
    </row>
    <row r="261" spans="1:6" x14ac:dyDescent="0.2">
      <c r="A261" t="s">
        <v>1693</v>
      </c>
      <c r="B261" t="str">
        <f>IF(Test_Bible!B284&lt;&gt;"","O","N")</f>
        <v>O</v>
      </c>
      <c r="C261" t="s">
        <v>167</v>
      </c>
      <c r="D261" s="90">
        <v>1</v>
      </c>
      <c r="E261" s="90">
        <f>Test_Bible!Q284</f>
        <v>2</v>
      </c>
      <c r="F261" s="55">
        <f>Test_Bible!V284</f>
        <v>2</v>
      </c>
    </row>
    <row r="262" spans="1:6" x14ac:dyDescent="0.2">
      <c r="A262" t="s">
        <v>1693</v>
      </c>
      <c r="B262" t="str">
        <f>IF(Test_Bible!B285&lt;&gt;"","O","N")</f>
        <v>N</v>
      </c>
      <c r="C262" t="s">
        <v>169</v>
      </c>
      <c r="D262" s="90"/>
      <c r="E262" s="90">
        <f>Test_Bible!Q285</f>
        <v>0</v>
      </c>
      <c r="F262" s="55">
        <f>Test_Bible!V285</f>
        <v>0</v>
      </c>
    </row>
    <row r="263" spans="1:6" x14ac:dyDescent="0.2">
      <c r="A263" t="s">
        <v>1693</v>
      </c>
      <c r="B263" t="str">
        <f>IF(Test_Bible!B286&lt;&gt;"","O","N")</f>
        <v>O</v>
      </c>
      <c r="C263" t="s">
        <v>170</v>
      </c>
      <c r="D263" s="90">
        <v>7</v>
      </c>
      <c r="E263" s="90">
        <f>Test_Bible!Q286</f>
        <v>14</v>
      </c>
      <c r="F263" s="55">
        <f>Test_Bible!V286</f>
        <v>14</v>
      </c>
    </row>
    <row r="264" spans="1:6" x14ac:dyDescent="0.2">
      <c r="A264" t="s">
        <v>1693</v>
      </c>
      <c r="B264" t="str">
        <f>IF(Test_Bible!B287&lt;&gt;"","O","N")</f>
        <v>O</v>
      </c>
      <c r="C264" t="s">
        <v>466</v>
      </c>
      <c r="D264" s="90">
        <v>2</v>
      </c>
      <c r="E264" s="90">
        <f>Test_Bible!Q287</f>
        <v>6</v>
      </c>
    </row>
    <row r="265" spans="1:6" x14ac:dyDescent="0.2">
      <c r="A265" t="s">
        <v>1693</v>
      </c>
      <c r="B265" t="str">
        <f>IF(Test_Bible!B288&lt;&gt;"","O","N")</f>
        <v>O</v>
      </c>
      <c r="C265" t="s">
        <v>171</v>
      </c>
      <c r="D265" s="90">
        <v>2</v>
      </c>
      <c r="E265" s="90">
        <f>Test_Bible!Q288</f>
        <v>4</v>
      </c>
      <c r="F265" s="55">
        <f>Test_Bible!V288</f>
        <v>4</v>
      </c>
    </row>
    <row r="266" spans="1:6" x14ac:dyDescent="0.2">
      <c r="A266" t="s">
        <v>1693</v>
      </c>
      <c r="B266" t="str">
        <f>IF(Test_Bible!B289&lt;&gt;"","O","N")</f>
        <v>N</v>
      </c>
      <c r="C266" t="s">
        <v>314</v>
      </c>
      <c r="D266" s="90"/>
      <c r="E266" s="90">
        <f>Test_Bible!Q289</f>
        <v>0</v>
      </c>
    </row>
    <row r="267" spans="1:6" x14ac:dyDescent="0.2">
      <c r="A267" t="s">
        <v>1693</v>
      </c>
      <c r="B267" t="str">
        <f>IF(Test_Bible!B290&lt;&gt;"","O","N")</f>
        <v>O</v>
      </c>
      <c r="C267" t="s">
        <v>172</v>
      </c>
      <c r="D267" s="90">
        <v>2</v>
      </c>
      <c r="E267" s="90">
        <f>Test_Bible!Q290</f>
        <v>4</v>
      </c>
      <c r="F267" s="55">
        <f>Test_Bible!V290</f>
        <v>27</v>
      </c>
    </row>
    <row r="268" spans="1:6" x14ac:dyDescent="0.2">
      <c r="A268" t="s">
        <v>1694</v>
      </c>
      <c r="B268" t="str">
        <f>IF(Test_Bible!B291&lt;&gt;"","O","N")</f>
        <v>O</v>
      </c>
      <c r="C268" s="45" t="s">
        <v>173</v>
      </c>
      <c r="D268" s="90">
        <v>1</v>
      </c>
      <c r="E268" s="90">
        <f>Test_Bible!P291</f>
        <v>3</v>
      </c>
    </row>
    <row r="269" spans="1:6" x14ac:dyDescent="0.2">
      <c r="A269" t="s">
        <v>1694</v>
      </c>
      <c r="B269" t="str">
        <f>B268</f>
        <v>O</v>
      </c>
      <c r="C269" s="45" t="s">
        <v>173</v>
      </c>
      <c r="D269" s="90"/>
      <c r="E269" s="90"/>
    </row>
    <row r="270" spans="1:6" x14ac:dyDescent="0.2">
      <c r="A270" t="s">
        <v>1694</v>
      </c>
      <c r="B270" t="str">
        <f>B269</f>
        <v>O</v>
      </c>
      <c r="C270" s="45" t="s">
        <v>173</v>
      </c>
      <c r="D270" s="90">
        <v>1</v>
      </c>
      <c r="E270" s="90"/>
    </row>
    <row r="271" spans="1:6" x14ac:dyDescent="0.2">
      <c r="A271" t="s">
        <v>1693</v>
      </c>
      <c r="B271" t="str">
        <f>IF(Test_Bible!B296&lt;&gt;"","O","N")</f>
        <v>O</v>
      </c>
      <c r="C271" t="s">
        <v>1093</v>
      </c>
      <c r="D271" s="90">
        <v>0</v>
      </c>
      <c r="E271" s="90">
        <f>Test_Bible!Q296</f>
        <v>0</v>
      </c>
    </row>
    <row r="272" spans="1:6" x14ac:dyDescent="0.2">
      <c r="A272" t="s">
        <v>1693</v>
      </c>
      <c r="B272" t="str">
        <f>IF(Test_Bible!B297&lt;&gt;"","O","N")</f>
        <v>O</v>
      </c>
      <c r="C272" t="s">
        <v>1094</v>
      </c>
      <c r="D272" s="90">
        <v>2</v>
      </c>
      <c r="E272" s="90">
        <f>Test_Bible!Q297</f>
        <v>6</v>
      </c>
    </row>
    <row r="273" spans="1:6" x14ac:dyDescent="0.2">
      <c r="A273" t="s">
        <v>1693</v>
      </c>
      <c r="B273" t="str">
        <f>IF(Test_Bible!B298&lt;&gt;"","O","N")</f>
        <v>O</v>
      </c>
      <c r="C273" t="s">
        <v>1095</v>
      </c>
      <c r="D273" s="90">
        <v>7</v>
      </c>
      <c r="E273" s="90">
        <f>Test_Bible!Q298</f>
        <v>21</v>
      </c>
    </row>
    <row r="274" spans="1:6" x14ac:dyDescent="0.2">
      <c r="A274" t="s">
        <v>1693</v>
      </c>
      <c r="B274" t="str">
        <f>IF(Test_Bible!B299&lt;&gt;"","O","N")</f>
        <v>O</v>
      </c>
      <c r="C274" t="s">
        <v>175</v>
      </c>
      <c r="D274" s="90">
        <v>2</v>
      </c>
      <c r="E274" s="90">
        <f>Test_Bible!Q299</f>
        <v>4</v>
      </c>
      <c r="F274" s="55">
        <f>Test_Bible!V299</f>
        <v>4</v>
      </c>
    </row>
    <row r="275" spans="1:6" x14ac:dyDescent="0.2">
      <c r="A275" t="s">
        <v>1693</v>
      </c>
      <c r="B275" t="str">
        <f>IF(Test_Bible!B300&lt;&gt;"","O","N")</f>
        <v>O</v>
      </c>
      <c r="C275" t="s">
        <v>176</v>
      </c>
      <c r="D275" s="90">
        <v>1</v>
      </c>
      <c r="E275" s="90">
        <f>Test_Bible!Q300</f>
        <v>2</v>
      </c>
      <c r="F275" s="55">
        <f>Test_Bible!V300</f>
        <v>2</v>
      </c>
    </row>
    <row r="276" spans="1:6" x14ac:dyDescent="0.2">
      <c r="A276" t="s">
        <v>1693</v>
      </c>
      <c r="B276" t="str">
        <f>IF(Test_Bible!B301&lt;&gt;"","O","N")</f>
        <v>N</v>
      </c>
      <c r="C276" t="s">
        <v>1098</v>
      </c>
      <c r="D276" s="90"/>
      <c r="E276" s="90">
        <f>Test_Bible!Q301</f>
        <v>0</v>
      </c>
    </row>
    <row r="277" spans="1:6" x14ac:dyDescent="0.2">
      <c r="A277" t="s">
        <v>1693</v>
      </c>
      <c r="B277" t="str">
        <f>IF(Test_Bible!B302&lt;&gt;"","O","N")</f>
        <v>O</v>
      </c>
      <c r="C277" t="s">
        <v>177</v>
      </c>
      <c r="D277" s="90">
        <v>7</v>
      </c>
      <c r="E277" s="90">
        <f>Test_Bible!Q302</f>
        <v>7</v>
      </c>
      <c r="F277">
        <f>Test_Bible!V302</f>
        <v>14</v>
      </c>
    </row>
    <row r="278" spans="1:6" x14ac:dyDescent="0.2">
      <c r="A278" t="s">
        <v>1693</v>
      </c>
      <c r="B278" t="str">
        <f>IF(Test_Bible!B303&lt;&gt;"","O","N")</f>
        <v>O</v>
      </c>
      <c r="C278" t="s">
        <v>178</v>
      </c>
      <c r="D278" s="90">
        <v>7</v>
      </c>
      <c r="E278" s="90">
        <f>Test_Bible!Q303</f>
        <v>14</v>
      </c>
    </row>
    <row r="279" spans="1:6" x14ac:dyDescent="0.2">
      <c r="A279" t="s">
        <v>1693</v>
      </c>
      <c r="B279" t="str">
        <f>IF(Test_Bible!B304&lt;&gt;"","O","N")</f>
        <v>O</v>
      </c>
      <c r="C279" t="s">
        <v>179</v>
      </c>
      <c r="D279" s="90">
        <v>2</v>
      </c>
      <c r="E279" s="90">
        <f>Test_Bible!Q304</f>
        <v>4</v>
      </c>
      <c r="F279" s="55">
        <f>Test_Bible!V304</f>
        <v>6</v>
      </c>
    </row>
    <row r="280" spans="1:6" x14ac:dyDescent="0.2">
      <c r="A280" t="s">
        <v>1693</v>
      </c>
      <c r="B280" t="str">
        <f>IF(Test_Bible!B305&lt;&gt;"","O","N")</f>
        <v>O</v>
      </c>
      <c r="C280" t="s">
        <v>592</v>
      </c>
      <c r="D280" s="90">
        <v>2</v>
      </c>
      <c r="E280" s="90">
        <f>Test_Bible!Q305</f>
        <v>6</v>
      </c>
    </row>
    <row r="281" spans="1:6" x14ac:dyDescent="0.2">
      <c r="A281" t="s">
        <v>1693</v>
      </c>
      <c r="B281" t="str">
        <f>IF(Test_Bible!B306&lt;&gt;"","O","N")</f>
        <v>O</v>
      </c>
      <c r="C281" t="s">
        <v>174</v>
      </c>
      <c r="D281" s="90">
        <v>7</v>
      </c>
      <c r="E281" s="90">
        <f>Test_Bible!Q306</f>
        <v>7</v>
      </c>
      <c r="F281" s="55">
        <f>Test_Bible!V306</f>
        <v>7</v>
      </c>
    </row>
    <row r="282" spans="1:6" x14ac:dyDescent="0.2">
      <c r="A282" t="s">
        <v>1693</v>
      </c>
      <c r="B282" t="str">
        <f>IF(Test_Bible!B307&lt;&gt;"","O","N")</f>
        <v>O</v>
      </c>
      <c r="C282" t="s">
        <v>180</v>
      </c>
      <c r="D282" s="90">
        <v>1</v>
      </c>
      <c r="E282" s="90">
        <f>Test_Bible!Q307</f>
        <v>1</v>
      </c>
      <c r="F282" s="55">
        <f>Test_Bible!V307</f>
        <v>1</v>
      </c>
    </row>
    <row r="283" spans="1:6" x14ac:dyDescent="0.2">
      <c r="A283" t="s">
        <v>1693</v>
      </c>
      <c r="B283" t="str">
        <f>IF(Test_Bible!B308&lt;&gt;"","O","N")</f>
        <v>O</v>
      </c>
      <c r="C283" t="s">
        <v>181</v>
      </c>
      <c r="D283" s="90">
        <v>10</v>
      </c>
      <c r="E283" s="90">
        <f>Test_Bible!Q308</f>
        <v>20</v>
      </c>
      <c r="F283" s="55">
        <f>Test_Bible!V308</f>
        <v>20</v>
      </c>
    </row>
    <row r="284" spans="1:6" x14ac:dyDescent="0.2">
      <c r="A284" t="s">
        <v>1693</v>
      </c>
      <c r="B284" t="str">
        <f>IF(Test_Bible!B309&lt;&gt;"","O","N")</f>
        <v>O</v>
      </c>
      <c r="C284" t="s">
        <v>182</v>
      </c>
      <c r="D284" s="90">
        <v>7</v>
      </c>
      <c r="E284" s="90">
        <f>Test_Bible!Q309</f>
        <v>14</v>
      </c>
      <c r="F284" s="55">
        <f>Test_Bible!V309</f>
        <v>14</v>
      </c>
    </row>
    <row r="285" spans="1:6" x14ac:dyDescent="0.2">
      <c r="A285" t="s">
        <v>1693</v>
      </c>
      <c r="B285" t="str">
        <f>IF(Test_Bible!B310&lt;&gt;"","O","N")</f>
        <v>O</v>
      </c>
      <c r="C285" t="s">
        <v>183</v>
      </c>
      <c r="D285" s="90">
        <v>7</v>
      </c>
      <c r="E285" s="90">
        <f>Test_Bible!Q310</f>
        <v>14</v>
      </c>
      <c r="F285" s="55">
        <f>Test_Bible!V310</f>
        <v>14</v>
      </c>
    </row>
    <row r="286" spans="1:6" x14ac:dyDescent="0.2">
      <c r="A286" t="s">
        <v>1693</v>
      </c>
      <c r="B286" t="str">
        <f>IF(Test_Bible!B311&lt;&gt;"","O","N")</f>
        <v>O</v>
      </c>
      <c r="C286" t="s">
        <v>168</v>
      </c>
      <c r="D286" s="90">
        <v>1</v>
      </c>
      <c r="E286" s="90">
        <f>Test_Bible!Q311</f>
        <v>3</v>
      </c>
      <c r="F286" s="55">
        <f>Test_Bible!V311</f>
        <v>3</v>
      </c>
    </row>
    <row r="287" spans="1:6" x14ac:dyDescent="0.2">
      <c r="A287" t="s">
        <v>1693</v>
      </c>
      <c r="B287" t="str">
        <f>IF(Test_Bible!B312&lt;&gt;"","O","N")</f>
        <v>O</v>
      </c>
      <c r="C287" t="s">
        <v>184</v>
      </c>
      <c r="D287" s="90">
        <v>2</v>
      </c>
      <c r="E287" s="90">
        <f>Test_Bible!Q312</f>
        <v>4</v>
      </c>
      <c r="F287" s="55">
        <f>Test_Bible!V312</f>
        <v>4</v>
      </c>
    </row>
    <row r="288" spans="1:6" x14ac:dyDescent="0.2">
      <c r="A288" t="s">
        <v>1695</v>
      </c>
      <c r="B288" t="str">
        <f>IF(Test_Bible!B313&lt;&gt;"","O","N")</f>
        <v>N</v>
      </c>
      <c r="C288" t="s">
        <v>315</v>
      </c>
      <c r="D288" s="90"/>
      <c r="E288" s="90"/>
    </row>
    <row r="289" spans="1:6" x14ac:dyDescent="0.2">
      <c r="A289" t="s">
        <v>1693</v>
      </c>
      <c r="B289" t="str">
        <f>IF(Test_Bible!B320&lt;&gt;"","O","N")</f>
        <v>N</v>
      </c>
      <c r="C289" t="s">
        <v>1159</v>
      </c>
      <c r="D289" s="90"/>
      <c r="E289" s="90">
        <f>Test_Bible!Q320</f>
        <v>0</v>
      </c>
    </row>
    <row r="290" spans="1:6" x14ac:dyDescent="0.2">
      <c r="A290" t="s">
        <v>1693</v>
      </c>
      <c r="B290" t="str">
        <f>IF(Test_Bible!B321&lt;&gt;"","O","N")</f>
        <v>O</v>
      </c>
      <c r="C290" t="s">
        <v>185</v>
      </c>
      <c r="D290" s="90">
        <v>2</v>
      </c>
      <c r="E290" s="90">
        <f>Test_Bible!Q321</f>
        <v>4</v>
      </c>
      <c r="F290" s="55">
        <f>Test_Bible!V321</f>
        <v>4</v>
      </c>
    </row>
    <row r="291" spans="1:6" x14ac:dyDescent="0.2">
      <c r="A291" t="s">
        <v>1693</v>
      </c>
      <c r="B291" t="str">
        <f>IF(Test_Bible!B322&lt;&gt;"","O","N")</f>
        <v>O</v>
      </c>
      <c r="C291" t="s">
        <v>188</v>
      </c>
      <c r="D291" s="90">
        <v>1</v>
      </c>
      <c r="E291" s="90">
        <f>Test_Bible!Q322</f>
        <v>2</v>
      </c>
      <c r="F291" s="55">
        <f>Test_Bible!V322</f>
        <v>2</v>
      </c>
    </row>
    <row r="292" spans="1:6" x14ac:dyDescent="0.2">
      <c r="A292" t="s">
        <v>1693</v>
      </c>
      <c r="B292" t="str">
        <f>IF(Test_Bible!B323&lt;&gt;"","O","N")</f>
        <v>N</v>
      </c>
      <c r="C292" t="s">
        <v>469</v>
      </c>
      <c r="D292" s="90"/>
      <c r="E292" s="90">
        <f>Test_Bible!Q323</f>
        <v>0</v>
      </c>
    </row>
    <row r="293" spans="1:6" x14ac:dyDescent="0.2">
      <c r="A293" t="s">
        <v>1693</v>
      </c>
      <c r="B293" t="str">
        <f>IF(Test_Bible!B324&lt;&gt;"","O","N")</f>
        <v>N</v>
      </c>
      <c r="C293" t="s">
        <v>189</v>
      </c>
      <c r="D293" s="90"/>
      <c r="E293" s="90">
        <f>Test_Bible!Q324</f>
        <v>0</v>
      </c>
      <c r="F293" s="55">
        <f>Test_Bible!V324</f>
        <v>0</v>
      </c>
    </row>
    <row r="294" spans="1:6" x14ac:dyDescent="0.2">
      <c r="A294" t="s">
        <v>1693</v>
      </c>
      <c r="B294" t="str">
        <f>IF(Test_Bible!B325&lt;&gt;"","O","N")</f>
        <v>N</v>
      </c>
      <c r="C294" t="s">
        <v>190</v>
      </c>
      <c r="D294" s="90"/>
      <c r="E294" s="90">
        <f>Test_Bible!Q325</f>
        <v>0</v>
      </c>
      <c r="F294" s="55">
        <f>Test_Bible!V325</f>
        <v>0</v>
      </c>
    </row>
    <row r="295" spans="1:6" x14ac:dyDescent="0.2">
      <c r="A295" t="s">
        <v>1693</v>
      </c>
      <c r="B295" t="str">
        <f>IF(Test_Bible!B326&lt;&gt;"","O","N")</f>
        <v>N</v>
      </c>
      <c r="C295" t="s">
        <v>191</v>
      </c>
      <c r="D295" s="90"/>
      <c r="E295" s="90">
        <f>Test_Bible!Q326</f>
        <v>0</v>
      </c>
      <c r="F295" s="55">
        <f>Test_Bible!V326</f>
        <v>0</v>
      </c>
    </row>
    <row r="296" spans="1:6" x14ac:dyDescent="0.2">
      <c r="A296" t="s">
        <v>1693</v>
      </c>
      <c r="B296" t="str">
        <f>IF(Test_Bible!B327&lt;&gt;"","O","N")</f>
        <v>N</v>
      </c>
      <c r="C296" t="s">
        <v>316</v>
      </c>
      <c r="D296" s="90"/>
      <c r="E296" s="90">
        <f>Test_Bible!Q327</f>
        <v>0</v>
      </c>
    </row>
    <row r="297" spans="1:6" x14ac:dyDescent="0.2">
      <c r="A297" t="s">
        <v>1693</v>
      </c>
      <c r="B297" t="str">
        <f>IF(Test_Bible!B328&lt;&gt;"","O","N")</f>
        <v>N</v>
      </c>
      <c r="C297" t="s">
        <v>317</v>
      </c>
      <c r="D297" s="90"/>
      <c r="E297" s="90">
        <f>Test_Bible!Q328</f>
        <v>0</v>
      </c>
    </row>
    <row r="298" spans="1:6" x14ac:dyDescent="0.2">
      <c r="A298" t="s">
        <v>1693</v>
      </c>
      <c r="B298" t="str">
        <f>IF(Test_Bible!B329&lt;&gt;"","O","N")</f>
        <v>O</v>
      </c>
      <c r="C298" t="s">
        <v>192</v>
      </c>
      <c r="D298" s="90">
        <v>2</v>
      </c>
      <c r="E298" s="90">
        <f>Test_Bible!Q329</f>
        <v>6</v>
      </c>
      <c r="F298" s="55">
        <f>Test_Bible!V329</f>
        <v>6</v>
      </c>
    </row>
    <row r="299" spans="1:6" x14ac:dyDescent="0.2">
      <c r="A299" t="s">
        <v>1695</v>
      </c>
      <c r="B299" t="str">
        <f>IF(Test_Bible!B330&lt;&gt;"","O","N")</f>
        <v>O</v>
      </c>
      <c r="C299" t="s">
        <v>193</v>
      </c>
      <c r="D299" s="90">
        <v>3</v>
      </c>
      <c r="E299" s="90"/>
    </row>
    <row r="300" spans="1:6" x14ac:dyDescent="0.2">
      <c r="A300" t="s">
        <v>1693</v>
      </c>
      <c r="B300" t="str">
        <f>IF(Test_Bible!B336&lt;&gt;"","O","N")</f>
        <v>O</v>
      </c>
      <c r="C300" t="s">
        <v>470</v>
      </c>
      <c r="D300" s="90">
        <v>0</v>
      </c>
      <c r="E300" s="90">
        <f>Test_Bible!Q336</f>
        <v>0</v>
      </c>
    </row>
    <row r="301" spans="1:6" x14ac:dyDescent="0.2">
      <c r="A301" t="s">
        <v>1693</v>
      </c>
      <c r="B301" t="str">
        <f>IF(Test_Bible!B337&lt;&gt;"","O","N")</f>
        <v>O</v>
      </c>
      <c r="C301" t="s">
        <v>1118</v>
      </c>
      <c r="D301" s="90">
        <v>0</v>
      </c>
      <c r="E301" s="90">
        <f>Test_Bible!Q337</f>
        <v>0</v>
      </c>
    </row>
    <row r="302" spans="1:6" x14ac:dyDescent="0.2">
      <c r="A302" t="s">
        <v>1694</v>
      </c>
      <c r="B302" t="str">
        <f>IF(Test_Bible!B338&lt;&gt;"","O","N")</f>
        <v>O</v>
      </c>
      <c r="C302" t="s">
        <v>194</v>
      </c>
      <c r="D302" s="90">
        <v>1</v>
      </c>
      <c r="E302" s="90"/>
    </row>
    <row r="303" spans="1:6" x14ac:dyDescent="0.2">
      <c r="A303" t="s">
        <v>1693</v>
      </c>
      <c r="B303" t="str">
        <f>IF(Test_Bible!B341&lt;&gt;"","O","N")</f>
        <v>O</v>
      </c>
      <c r="C303" t="s">
        <v>318</v>
      </c>
      <c r="D303" s="90">
        <v>4</v>
      </c>
      <c r="E303" s="90">
        <f>Test_Bible!Q341</f>
        <v>4</v>
      </c>
    </row>
    <row r="304" spans="1:6" x14ac:dyDescent="0.2">
      <c r="A304" t="s">
        <v>1693</v>
      </c>
      <c r="B304" t="str">
        <f>IF(Test_Bible!B342&lt;&gt;"","O","N")</f>
        <v>O</v>
      </c>
      <c r="C304" t="s">
        <v>318</v>
      </c>
      <c r="D304" s="90">
        <v>4</v>
      </c>
      <c r="E304" s="90">
        <f>Test_Bible!Q342</f>
        <v>4</v>
      </c>
    </row>
    <row r="305" spans="1:6" x14ac:dyDescent="0.2">
      <c r="A305" t="s">
        <v>1693</v>
      </c>
      <c r="B305" t="str">
        <f>IF(Test_Bible!B343&lt;&gt;"","O","N")</f>
        <v>O</v>
      </c>
      <c r="C305" t="s">
        <v>318</v>
      </c>
      <c r="D305" s="90">
        <v>2</v>
      </c>
      <c r="E305" s="90">
        <f>Test_Bible!Q343</f>
        <v>2</v>
      </c>
    </row>
    <row r="306" spans="1:6" x14ac:dyDescent="0.2">
      <c r="A306" t="s">
        <v>1693</v>
      </c>
      <c r="B306" t="str">
        <f>IF(Test_Bible!B344&lt;&gt;"","O","N")</f>
        <v>O</v>
      </c>
      <c r="C306" t="s">
        <v>318</v>
      </c>
      <c r="D306" s="90">
        <v>0</v>
      </c>
      <c r="E306" s="90">
        <f>Test_Bible!Q344</f>
        <v>0</v>
      </c>
    </row>
    <row r="307" spans="1:6" x14ac:dyDescent="0.2">
      <c r="A307" t="s">
        <v>1693</v>
      </c>
      <c r="B307" t="str">
        <f>IF(Test_Bible!B345&lt;&gt;"","O","N")</f>
        <v>O</v>
      </c>
      <c r="C307" t="s">
        <v>318</v>
      </c>
      <c r="D307" s="90">
        <v>0</v>
      </c>
      <c r="E307" s="90">
        <f>Test_Bible!Q345</f>
        <v>0</v>
      </c>
    </row>
    <row r="308" spans="1:6" x14ac:dyDescent="0.2">
      <c r="A308" t="s">
        <v>1694</v>
      </c>
      <c r="B308" t="str">
        <f>IF(Test_Bible!B347&lt;&gt;"","O","N")</f>
        <v>O</v>
      </c>
      <c r="C308" t="s">
        <v>318</v>
      </c>
      <c r="D308" s="90">
        <v>0</v>
      </c>
      <c r="E308" s="90">
        <f>Test_Bible!Q347</f>
        <v>0</v>
      </c>
    </row>
    <row r="309" spans="1:6" x14ac:dyDescent="0.2">
      <c r="A309" t="s">
        <v>1694</v>
      </c>
      <c r="B309" t="str">
        <f>IF(Test_Bible!B349&lt;&gt;"","O","N")</f>
        <v>O</v>
      </c>
      <c r="C309" t="s">
        <v>318</v>
      </c>
      <c r="D309" s="90">
        <v>0</v>
      </c>
      <c r="E309" s="90">
        <f>Test_Bible!Q349</f>
        <v>0</v>
      </c>
    </row>
    <row r="310" spans="1:6" x14ac:dyDescent="0.2">
      <c r="A310" t="s">
        <v>1694</v>
      </c>
      <c r="B310" t="str">
        <f>IF(Test_Bible!B351&lt;&gt;"","O","N")</f>
        <v>O</v>
      </c>
      <c r="C310" t="s">
        <v>318</v>
      </c>
      <c r="D310" s="90">
        <v>0</v>
      </c>
      <c r="E310" s="90">
        <f>Test_Bible!Q351</f>
        <v>0</v>
      </c>
    </row>
    <row r="311" spans="1:6" x14ac:dyDescent="0.2">
      <c r="A311" t="s">
        <v>1693</v>
      </c>
      <c r="B311" t="str">
        <f>IF(Test_Bible!B356&lt;&gt;"","O","N")</f>
        <v>O</v>
      </c>
      <c r="C311" t="s">
        <v>1302</v>
      </c>
      <c r="D311" s="90">
        <v>4</v>
      </c>
      <c r="E311" s="90">
        <f>Test_Bible!Q356</f>
        <v>4</v>
      </c>
    </row>
    <row r="312" spans="1:6" x14ac:dyDescent="0.2">
      <c r="A312" t="s">
        <v>1693</v>
      </c>
      <c r="B312" t="str">
        <f>IF(Test_Bible!B357&lt;&gt;"","O","N")</f>
        <v>O</v>
      </c>
      <c r="C312" t="s">
        <v>1302</v>
      </c>
      <c r="D312" s="90">
        <v>4</v>
      </c>
      <c r="E312" s="90">
        <f>Test_Bible!Q357</f>
        <v>4</v>
      </c>
    </row>
    <row r="313" spans="1:6" x14ac:dyDescent="0.2">
      <c r="A313" t="s">
        <v>1693</v>
      </c>
      <c r="B313" t="str">
        <f>IF(Test_Bible!B358&lt;&gt;"","O","N")</f>
        <v>O</v>
      </c>
      <c r="C313" t="s">
        <v>1302</v>
      </c>
      <c r="D313" s="90">
        <v>2</v>
      </c>
      <c r="E313" s="90">
        <f>Test_Bible!Q358</f>
        <v>2</v>
      </c>
    </row>
    <row r="314" spans="1:6" x14ac:dyDescent="0.2">
      <c r="A314" t="s">
        <v>1693</v>
      </c>
      <c r="B314" t="str">
        <f>IF(Test_Bible!B359&lt;&gt;"","O","N")</f>
        <v>N</v>
      </c>
      <c r="C314" t="s">
        <v>1302</v>
      </c>
      <c r="D314" s="90">
        <v>0</v>
      </c>
      <c r="E314" s="90">
        <f>Test_Bible!Q359</f>
        <v>0</v>
      </c>
    </row>
    <row r="315" spans="1:6" x14ac:dyDescent="0.2">
      <c r="A315" t="s">
        <v>1693</v>
      </c>
      <c r="B315" t="str">
        <f>IF(Test_Bible!B360&lt;&gt;"","O","N")</f>
        <v>N</v>
      </c>
      <c r="C315" t="s">
        <v>1302</v>
      </c>
      <c r="D315" s="90">
        <v>0</v>
      </c>
      <c r="E315" s="90">
        <f>Test_Bible!Q360</f>
        <v>0</v>
      </c>
    </row>
    <row r="316" spans="1:6" x14ac:dyDescent="0.2">
      <c r="A316" t="s">
        <v>1694</v>
      </c>
      <c r="B316" t="str">
        <f>IF(Test_Bible!B362&lt;&gt;"","O","N")</f>
        <v>N</v>
      </c>
      <c r="C316" t="s">
        <v>1302</v>
      </c>
      <c r="D316" s="90">
        <v>1</v>
      </c>
      <c r="E316" s="90">
        <f>Test_Bible!Q362</f>
        <v>1</v>
      </c>
    </row>
    <row r="317" spans="1:6" x14ac:dyDescent="0.2">
      <c r="A317" t="s">
        <v>1694</v>
      </c>
      <c r="B317" t="str">
        <f>IF(Test_Bible!B364&lt;&gt;"","O","N")</f>
        <v>N</v>
      </c>
      <c r="C317" t="s">
        <v>1302</v>
      </c>
      <c r="D317" s="90">
        <v>1</v>
      </c>
      <c r="E317" s="90">
        <f>Test_Bible!Q364</f>
        <v>1</v>
      </c>
    </row>
    <row r="318" spans="1:6" x14ac:dyDescent="0.2">
      <c r="A318" t="s">
        <v>1694</v>
      </c>
      <c r="B318" t="str">
        <f>IF(Test_Bible!B366&lt;&gt;"","O","N")</f>
        <v>N</v>
      </c>
      <c r="C318" t="s">
        <v>1302</v>
      </c>
      <c r="D318" s="90">
        <v>1</v>
      </c>
      <c r="E318" s="90">
        <f>Test_Bible!Q366</f>
        <v>1</v>
      </c>
    </row>
    <row r="319" spans="1:6" x14ac:dyDescent="0.2">
      <c r="A319" t="s">
        <v>1693</v>
      </c>
      <c r="B319" t="str">
        <f>IF(Test_Bible!B371&lt;&gt;"","O","N")</f>
        <v>O</v>
      </c>
      <c r="C319" t="s">
        <v>1047</v>
      </c>
      <c r="D319" s="90">
        <v>4</v>
      </c>
      <c r="E319" s="90">
        <f>Test_Bible!Q371</f>
        <v>8</v>
      </c>
      <c r="F319" s="55">
        <f>Test_Bible!V371</f>
        <v>8</v>
      </c>
    </row>
    <row r="320" spans="1:6" x14ac:dyDescent="0.2">
      <c r="A320" t="s">
        <v>1695</v>
      </c>
      <c r="B320" t="str">
        <f>IF(Test_Bible!B372&lt;&gt;"","O","N")</f>
        <v>O</v>
      </c>
      <c r="C320" t="s">
        <v>1048</v>
      </c>
      <c r="D320" s="90">
        <v>5</v>
      </c>
      <c r="E320" s="90"/>
    </row>
    <row r="321" spans="3:13" x14ac:dyDescent="0.2">
      <c r="C321" s="1489"/>
      <c r="D321" s="1490"/>
      <c r="E321" s="1490"/>
      <c r="F321" s="1489"/>
      <c r="G321" s="1497">
        <f>Test_Bible!V380</f>
        <v>176</v>
      </c>
      <c r="H321" s="1497">
        <f>Test_Bible!X380</f>
        <v>0</v>
      </c>
      <c r="I321" s="1497">
        <f>Test_Bible!Y380</f>
        <v>51</v>
      </c>
      <c r="J321" s="1497">
        <f>Test_Bible!Z380</f>
        <v>102</v>
      </c>
      <c r="K321" s="1497">
        <f>Test_Bible!AA380</f>
        <v>204</v>
      </c>
      <c r="L321" s="1497">
        <f>Test_Bible!AB380</f>
        <v>357</v>
      </c>
      <c r="M321" s="1497">
        <f>Test_Bible!AC380</f>
        <v>510</v>
      </c>
    </row>
    <row r="339" spans="1:13" x14ac:dyDescent="0.2">
      <c r="A339" t="s">
        <v>1032</v>
      </c>
      <c r="B339" t="str">
        <f>IF(Test_Bible!B387&lt;&gt;"","O","N")</f>
        <v>N</v>
      </c>
      <c r="C339" t="s">
        <v>1176</v>
      </c>
      <c r="F339" s="1467"/>
      <c r="G339" s="1468"/>
      <c r="H339" s="1468"/>
      <c r="I339" s="1468"/>
      <c r="J339" s="1468"/>
      <c r="K339" s="1468"/>
      <c r="L339" s="1468"/>
      <c r="M339" s="1468"/>
    </row>
    <row r="340" spans="1:13" x14ac:dyDescent="0.2">
      <c r="A340" t="s">
        <v>1691</v>
      </c>
      <c r="B340" t="str">
        <f>IF(Test_Bible!B394&lt;&gt;"","O","N")</f>
        <v>N</v>
      </c>
      <c r="C340" t="s">
        <v>1509</v>
      </c>
      <c r="F340" s="1467"/>
      <c r="G340" s="1468"/>
      <c r="H340" s="1468"/>
      <c r="I340" s="1468"/>
      <c r="J340" s="1468"/>
      <c r="K340" s="1468"/>
      <c r="L340" s="1468"/>
      <c r="M340" s="1468"/>
    </row>
    <row r="341" spans="1:13" x14ac:dyDescent="0.2">
      <c r="C341" s="1494"/>
      <c r="D341" s="1495"/>
      <c r="E341" s="1495"/>
      <c r="F341" s="1494" t="s">
        <v>1183</v>
      </c>
      <c r="G341" s="1495"/>
      <c r="H341" s="1495"/>
      <c r="I341" s="1495"/>
      <c r="J341" s="1495"/>
      <c r="K341" s="1495"/>
      <c r="L341" s="1495"/>
      <c r="M341" s="1495"/>
    </row>
    <row r="361" spans="1:6" x14ac:dyDescent="0.2">
      <c r="A361" t="s">
        <v>386</v>
      </c>
      <c r="B361" t="str">
        <f>IF(Test_Bible!B402&lt;&gt;"","O","N")</f>
        <v>O</v>
      </c>
      <c r="C361" t="s">
        <v>1343</v>
      </c>
      <c r="D361" s="5">
        <v>4</v>
      </c>
      <c r="E361" s="90">
        <f>Test_Bible!Q402</f>
        <v>4</v>
      </c>
    </row>
    <row r="362" spans="1:6" x14ac:dyDescent="0.2">
      <c r="A362" t="s">
        <v>1693</v>
      </c>
      <c r="B362" t="str">
        <f>IF(Test_Bible!B404&lt;&gt;"","O","N")</f>
        <v>N</v>
      </c>
      <c r="C362" t="s">
        <v>198</v>
      </c>
      <c r="D362" s="90"/>
      <c r="E362" s="90">
        <f>Test_Bible!Q404</f>
        <v>0</v>
      </c>
      <c r="F362" s="55">
        <f>Test_Bible!V404</f>
        <v>0</v>
      </c>
    </row>
    <row r="363" spans="1:6" x14ac:dyDescent="0.2">
      <c r="A363" t="s">
        <v>1693</v>
      </c>
      <c r="B363" t="str">
        <f>IF(Test_Bible!B405&lt;&gt;"","O","N")</f>
        <v>N</v>
      </c>
      <c r="C363" t="s">
        <v>199</v>
      </c>
      <c r="D363" s="90"/>
      <c r="E363" s="90">
        <f>Test_Bible!Q405</f>
        <v>0</v>
      </c>
    </row>
    <row r="364" spans="1:6" x14ac:dyDescent="0.2">
      <c r="A364" t="s">
        <v>1693</v>
      </c>
      <c r="B364" t="str">
        <f>IF(Test_Bible!B406&lt;&gt;"","O","N")</f>
        <v>O</v>
      </c>
      <c r="C364" t="s">
        <v>200</v>
      </c>
      <c r="D364" s="90">
        <v>7</v>
      </c>
      <c r="E364" s="90">
        <f>Test_Bible!Q406</f>
        <v>14</v>
      </c>
      <c r="F364" s="55">
        <f>Test_Bible!V406</f>
        <v>14</v>
      </c>
    </row>
    <row r="365" spans="1:6" x14ac:dyDescent="0.2">
      <c r="A365" t="s">
        <v>1693</v>
      </c>
      <c r="B365" t="str">
        <f>IF(Test_Bible!B407&lt;&gt;"","O","N")</f>
        <v>O</v>
      </c>
      <c r="C365" t="s">
        <v>201</v>
      </c>
      <c r="D365" s="90">
        <v>7</v>
      </c>
      <c r="E365" s="90">
        <f>Test_Bible!Q407</f>
        <v>7</v>
      </c>
      <c r="F365" s="55">
        <f>Test_Bible!V407</f>
        <v>7</v>
      </c>
    </row>
    <row r="366" spans="1:6" x14ac:dyDescent="0.2">
      <c r="A366" t="s">
        <v>1032</v>
      </c>
      <c r="B366" t="str">
        <f>IF(Test_Bible!B408&lt;&gt;"","O","N")</f>
        <v>O</v>
      </c>
      <c r="C366" t="s">
        <v>202</v>
      </c>
      <c r="D366" s="90">
        <v>4</v>
      </c>
      <c r="E366" s="90"/>
      <c r="F366" s="55">
        <f>Test_Bible!V408</f>
        <v>12</v>
      </c>
    </row>
    <row r="367" spans="1:6" x14ac:dyDescent="0.2">
      <c r="A367" t="s">
        <v>1693</v>
      </c>
      <c r="B367" t="str">
        <f>IF(Test_Bible!B414&lt;&gt;"","O","N")</f>
        <v>O</v>
      </c>
      <c r="C367" t="s">
        <v>1102</v>
      </c>
      <c r="D367" s="90">
        <v>4</v>
      </c>
      <c r="E367" s="90">
        <f>Test_Bible!Q414</f>
        <v>12</v>
      </c>
    </row>
    <row r="368" spans="1:6" x14ac:dyDescent="0.2">
      <c r="A368" t="s">
        <v>1693</v>
      </c>
      <c r="B368" t="str">
        <f>IF(Test_Bible!B415&lt;&gt;"","O","N")</f>
        <v>O</v>
      </c>
      <c r="C368" t="s">
        <v>1162</v>
      </c>
      <c r="D368" s="90">
        <v>1</v>
      </c>
      <c r="E368" s="90">
        <f>Test_Bible!Q415</f>
        <v>3</v>
      </c>
    </row>
    <row r="369" spans="1:13" x14ac:dyDescent="0.2">
      <c r="A369" t="s">
        <v>1693</v>
      </c>
      <c r="B369" t="str">
        <f>IF(Test_Bible!B416&lt;&gt;"","O","N")</f>
        <v>N</v>
      </c>
      <c r="C369" t="s">
        <v>1104</v>
      </c>
      <c r="D369" s="90"/>
      <c r="E369" s="90">
        <f>Test_Bible!Q416</f>
        <v>0</v>
      </c>
    </row>
    <row r="370" spans="1:13" x14ac:dyDescent="0.2">
      <c r="A370" t="s">
        <v>1693</v>
      </c>
      <c r="B370" t="str">
        <f>IF(Test_Bible!B417&lt;&gt;"","O","N")</f>
        <v>O</v>
      </c>
      <c r="C370" t="s">
        <v>203</v>
      </c>
      <c r="D370" s="90">
        <v>4</v>
      </c>
      <c r="E370" s="90">
        <f>Test_Bible!Q417</f>
        <v>8</v>
      </c>
      <c r="F370" s="55">
        <f>Test_Bible!V417</f>
        <v>8</v>
      </c>
    </row>
    <row r="371" spans="1:13" x14ac:dyDescent="0.2">
      <c r="A371" t="s">
        <v>1693</v>
      </c>
      <c r="B371" t="str">
        <f>IF(Test_Bible!B418&lt;&gt;"","O","N")</f>
        <v>O</v>
      </c>
      <c r="C371" t="s">
        <v>1103</v>
      </c>
      <c r="D371" s="90">
        <v>4</v>
      </c>
      <c r="E371" s="90">
        <f>Test_Bible!Q418</f>
        <v>8</v>
      </c>
    </row>
    <row r="372" spans="1:13" x14ac:dyDescent="0.2">
      <c r="A372" t="s">
        <v>1693</v>
      </c>
      <c r="B372" t="str">
        <f>IF(Test_Bible!B419&lt;&gt;"","O","N")</f>
        <v>O</v>
      </c>
      <c r="C372" t="s">
        <v>204</v>
      </c>
      <c r="D372" s="90">
        <v>2</v>
      </c>
      <c r="E372" s="90">
        <f>Test_Bible!Q419</f>
        <v>4</v>
      </c>
      <c r="F372" s="55">
        <f>Test_Bible!V419</f>
        <v>4</v>
      </c>
    </row>
    <row r="373" spans="1:13" x14ac:dyDescent="0.2">
      <c r="A373" t="s">
        <v>1693</v>
      </c>
      <c r="B373" t="str">
        <f>IF(Test_Bible!B420&lt;&gt;"","O","N")</f>
        <v>O</v>
      </c>
      <c r="C373" t="s">
        <v>205</v>
      </c>
      <c r="D373" s="90">
        <v>7</v>
      </c>
      <c r="E373" s="90">
        <f>Test_Bible!Q420</f>
        <v>14</v>
      </c>
      <c r="F373" s="55">
        <f>Test_Bible!V420</f>
        <v>14</v>
      </c>
    </row>
    <row r="374" spans="1:13" x14ac:dyDescent="0.2">
      <c r="A374" t="s">
        <v>1693</v>
      </c>
      <c r="B374" t="str">
        <f>IF(Test_Bible!B421&lt;&gt;"","O","N")</f>
        <v>O</v>
      </c>
      <c r="C374" t="s">
        <v>206</v>
      </c>
      <c r="D374" s="90">
        <v>7</v>
      </c>
      <c r="E374" s="90">
        <f>Test_Bible!Q421</f>
        <v>14</v>
      </c>
      <c r="F374" s="55">
        <f>Test_Bible!V421</f>
        <v>14</v>
      </c>
    </row>
    <row r="375" spans="1:13" x14ac:dyDescent="0.2">
      <c r="A375" t="s">
        <v>1693</v>
      </c>
      <c r="B375" t="str">
        <f>IF(Test_Bible!B422&lt;&gt;"","O","N")</f>
        <v>O</v>
      </c>
      <c r="C375" t="s">
        <v>493</v>
      </c>
      <c r="D375" s="90">
        <v>7</v>
      </c>
      <c r="E375" s="90">
        <f>Test_Bible!Q422</f>
        <v>21</v>
      </c>
      <c r="F375" s="55">
        <f>Test_Bible!V422</f>
        <v>21</v>
      </c>
    </row>
    <row r="376" spans="1:13" x14ac:dyDescent="0.2">
      <c r="A376" t="s">
        <v>1693</v>
      </c>
      <c r="B376" t="str">
        <f>IF(Test_Bible!B423&lt;&gt;"","O","N")</f>
        <v>O</v>
      </c>
      <c r="C376" t="s">
        <v>207</v>
      </c>
      <c r="D376" s="90">
        <v>7</v>
      </c>
      <c r="E376" s="90">
        <f>Test_Bible!Q423</f>
        <v>21</v>
      </c>
      <c r="F376" s="55">
        <f>Test_Bible!V423</f>
        <v>21</v>
      </c>
    </row>
    <row r="377" spans="1:13" x14ac:dyDescent="0.2">
      <c r="A377" t="s">
        <v>1693</v>
      </c>
      <c r="B377" t="str">
        <f>IF(Test_Bible!B424&lt;&gt;"","O","N")</f>
        <v>O</v>
      </c>
      <c r="C377" t="s">
        <v>208</v>
      </c>
      <c r="D377" s="90">
        <v>2</v>
      </c>
      <c r="E377" s="90">
        <f>Test_Bible!Q424</f>
        <v>4</v>
      </c>
      <c r="F377" s="55">
        <f>Test_Bible!V424</f>
        <v>4</v>
      </c>
    </row>
    <row r="378" spans="1:13" x14ac:dyDescent="0.2">
      <c r="A378" t="s">
        <v>1693</v>
      </c>
      <c r="B378" t="str">
        <f>IF(Test_Bible!B425&lt;&gt;"","O","N")</f>
        <v>O</v>
      </c>
      <c r="C378" t="s">
        <v>209</v>
      </c>
      <c r="D378" s="90">
        <v>10</v>
      </c>
      <c r="E378" s="90">
        <f>Test_Bible!Q425</f>
        <v>20</v>
      </c>
      <c r="F378" s="55">
        <f>Test_Bible!V425</f>
        <v>20</v>
      </c>
    </row>
    <row r="379" spans="1:13" x14ac:dyDescent="0.2">
      <c r="A379" t="s">
        <v>1693</v>
      </c>
      <c r="B379" t="str">
        <f>IF(Test_Bible!B426&lt;&gt;"","O","N")</f>
        <v>O</v>
      </c>
      <c r="C379" t="s">
        <v>210</v>
      </c>
      <c r="D379" s="90">
        <v>7</v>
      </c>
      <c r="E379" s="90">
        <f>Test_Bible!Q426</f>
        <v>21</v>
      </c>
      <c r="F379" s="55">
        <f>Test_Bible!V426</f>
        <v>21</v>
      </c>
    </row>
    <row r="380" spans="1:13" x14ac:dyDescent="0.2">
      <c r="C380" s="1486"/>
      <c r="D380" s="1487"/>
      <c r="E380" s="1487"/>
      <c r="F380" s="1486"/>
      <c r="G380" s="1488">
        <f>Test_Bible!V427</f>
        <v>160</v>
      </c>
      <c r="H380" s="1488">
        <f>Test_Bible!X427</f>
        <v>0</v>
      </c>
      <c r="I380" s="1488">
        <f>Test_Bible!Y427</f>
        <v>27</v>
      </c>
      <c r="J380" s="1488">
        <f>Test_Bible!Z427</f>
        <v>54</v>
      </c>
      <c r="K380" s="1488">
        <f>Test_Bible!AA427</f>
        <v>108</v>
      </c>
      <c r="L380" s="1488">
        <f>Test_Bible!AB427</f>
        <v>189</v>
      </c>
      <c r="M380" s="1488">
        <f>Test_Bible!AC427</f>
        <v>270</v>
      </c>
    </row>
    <row r="398" spans="1:4" x14ac:dyDescent="0.2">
      <c r="A398" t="s">
        <v>1695</v>
      </c>
      <c r="B398" t="str">
        <f>IF(Test_Bible!B429&lt;&gt;"","O","N")</f>
        <v>O</v>
      </c>
      <c r="C398" t="s">
        <v>980</v>
      </c>
      <c r="D398" s="5">
        <v>3</v>
      </c>
    </row>
    <row r="399" spans="1:4" x14ac:dyDescent="0.2">
      <c r="A399" t="s">
        <v>1691</v>
      </c>
      <c r="B399" t="str">
        <f>IF(Test_Bible!B446&lt;&gt;"","O","N")</f>
        <v>O</v>
      </c>
      <c r="C399" t="s">
        <v>981</v>
      </c>
      <c r="D399" s="5">
        <v>3</v>
      </c>
    </row>
    <row r="400" spans="1:4" x14ac:dyDescent="0.2">
      <c r="A400" t="s">
        <v>1696</v>
      </c>
      <c r="B400" t="str">
        <f>IF(Test_Bible!B447&lt;&gt;"","O","N")</f>
        <v>O</v>
      </c>
      <c r="C400" t="s">
        <v>982</v>
      </c>
      <c r="D400" s="5">
        <v>7</v>
      </c>
    </row>
    <row r="401" spans="1:30" x14ac:dyDescent="0.2">
      <c r="A401" t="s">
        <v>1691</v>
      </c>
      <c r="B401" t="str">
        <f>IF(Test_Bible!B451&lt;&gt;" ","O","N")</f>
        <v>N</v>
      </c>
      <c r="C401" t="s">
        <v>983</v>
      </c>
    </row>
    <row r="402" spans="1:30" x14ac:dyDescent="0.2">
      <c r="A402" t="s">
        <v>1694</v>
      </c>
      <c r="B402" t="str">
        <f>IF(Test_Bible!B458&lt;&gt;"","O","N")</f>
        <v>O</v>
      </c>
      <c r="C402" t="s">
        <v>984</v>
      </c>
      <c r="D402" s="5">
        <v>0</v>
      </c>
      <c r="E402" s="5">
        <f>Test_Bible!P457</f>
        <v>1</v>
      </c>
    </row>
    <row r="403" spans="1:30" x14ac:dyDescent="0.2">
      <c r="A403" t="s">
        <v>1694</v>
      </c>
      <c r="B403" t="str">
        <f>IF(Test_Bible!B459&lt;&gt;"","O","N")</f>
        <v>O</v>
      </c>
      <c r="C403" t="s">
        <v>984</v>
      </c>
      <c r="D403" s="5">
        <v>0</v>
      </c>
    </row>
    <row r="404" spans="1:30" x14ac:dyDescent="0.2">
      <c r="A404" t="s">
        <v>1694</v>
      </c>
      <c r="B404" t="str">
        <f>IF(Test_Bible!B460&lt;&gt;"","O","N")</f>
        <v>O</v>
      </c>
      <c r="C404" t="s">
        <v>984</v>
      </c>
      <c r="D404" s="5">
        <v>0</v>
      </c>
    </row>
    <row r="405" spans="1:30" x14ac:dyDescent="0.2">
      <c r="A405" t="s">
        <v>1694</v>
      </c>
      <c r="B405" t="str">
        <f>IF(Test_Bible!B461&lt;&gt;"","O","N")</f>
        <v>O</v>
      </c>
      <c r="C405" t="s">
        <v>984</v>
      </c>
      <c r="D405" s="5">
        <v>0</v>
      </c>
    </row>
    <row r="406" spans="1:30" x14ac:dyDescent="0.2">
      <c r="A406" t="s">
        <v>1694</v>
      </c>
      <c r="B406" t="str">
        <f>IF(Test_Bible!B462&lt;&gt;"","O","N")</f>
        <v>O</v>
      </c>
      <c r="C406" t="s">
        <v>984</v>
      </c>
      <c r="D406" s="5">
        <v>0</v>
      </c>
    </row>
    <row r="407" spans="1:30" x14ac:dyDescent="0.2">
      <c r="A407" t="s">
        <v>1694</v>
      </c>
      <c r="B407" t="str">
        <f>IF(Test_Bible!B463&lt;&gt;"","O","N")</f>
        <v>O</v>
      </c>
      <c r="C407" t="s">
        <v>984</v>
      </c>
      <c r="D407" s="5">
        <v>0</v>
      </c>
    </row>
    <row r="408" spans="1:30" x14ac:dyDescent="0.2">
      <c r="A408" t="s">
        <v>1694</v>
      </c>
      <c r="B408" t="str">
        <f>IF(Test_Bible!B464&lt;&gt;"","O","N")</f>
        <v>O</v>
      </c>
      <c r="C408" t="s">
        <v>984</v>
      </c>
      <c r="D408" s="5">
        <v>0</v>
      </c>
    </row>
    <row r="409" spans="1:30" x14ac:dyDescent="0.2">
      <c r="A409" t="s">
        <v>1694</v>
      </c>
      <c r="B409" t="str">
        <f>IF(Test_Bible!B465&lt;&gt;"","O","N")</f>
        <v>O</v>
      </c>
      <c r="C409" t="s">
        <v>984</v>
      </c>
      <c r="D409" s="5">
        <v>0</v>
      </c>
    </row>
    <row r="410" spans="1:30" x14ac:dyDescent="0.2">
      <c r="A410" t="s">
        <v>1694</v>
      </c>
      <c r="B410" t="str">
        <f>IF(Test_Bible!B466&lt;&gt;"","O","N")</f>
        <v>O</v>
      </c>
      <c r="C410" t="s">
        <v>984</v>
      </c>
      <c r="D410" s="5">
        <v>1</v>
      </c>
    </row>
    <row r="416" spans="1:30" ht="26" x14ac:dyDescent="0.3">
      <c r="B416" s="737" t="s">
        <v>1519</v>
      </c>
      <c r="C416" s="88"/>
      <c r="D416" s="591"/>
      <c r="E416" s="591"/>
      <c r="F416" s="88"/>
      <c r="G416" s="1684" t="s">
        <v>1523</v>
      </c>
      <c r="H416" s="591"/>
      <c r="I416" s="591"/>
      <c r="J416" s="591"/>
      <c r="K416" s="591"/>
      <c r="L416" s="591"/>
      <c r="M416" s="591"/>
      <c r="N416" s="591"/>
      <c r="O416" s="2530" t="s">
        <v>1697</v>
      </c>
      <c r="P416" s="2530"/>
      <c r="Q416" s="2530"/>
      <c r="R416" s="2530"/>
      <c r="S416" s="2530"/>
      <c r="T416" s="2530"/>
      <c r="U416" s="2530"/>
      <c r="V416" s="2530"/>
      <c r="W416" s="2530"/>
      <c r="X416" s="2530"/>
      <c r="Y416" s="2530"/>
      <c r="Z416" s="2530"/>
      <c r="AA416" s="2530"/>
      <c r="AB416" s="2530"/>
      <c r="AC416" s="2530"/>
      <c r="AD416" s="2530"/>
    </row>
    <row r="417" spans="2:46" ht="22" customHeight="1" x14ac:dyDescent="0.25">
      <c r="B417" s="2527" t="s">
        <v>1646</v>
      </c>
      <c r="C417" s="2527"/>
      <c r="D417" s="2527"/>
      <c r="E417" s="2527"/>
      <c r="F417" s="2527"/>
      <c r="G417" s="2527"/>
      <c r="H417" s="2527"/>
      <c r="I417" s="2162"/>
      <c r="J417" s="2162"/>
      <c r="K417" s="2535" t="s">
        <v>1645</v>
      </c>
      <c r="L417" s="2535"/>
      <c r="M417" s="2535"/>
      <c r="N417" s="2535"/>
      <c r="O417" s="2535"/>
      <c r="P417" s="2535"/>
      <c r="Q417" s="2535"/>
      <c r="R417" s="5"/>
      <c r="S417" s="5"/>
      <c r="T417" s="5"/>
      <c r="U417" s="5"/>
      <c r="V417" s="5"/>
      <c r="W417" s="5"/>
      <c r="X417" s="5"/>
      <c r="Y417" s="5"/>
      <c r="Z417" s="5"/>
      <c r="AA417" s="5"/>
    </row>
    <row r="418" spans="2:46" ht="44" customHeight="1" x14ac:dyDescent="0.2">
      <c r="B418" s="1762" t="s">
        <v>1520</v>
      </c>
      <c r="G418" s="1735"/>
      <c r="O418" s="5"/>
      <c r="P418" s="5"/>
      <c r="Q418" s="5"/>
      <c r="R418" s="5"/>
      <c r="S418" s="5"/>
      <c r="T418" s="5"/>
      <c r="U418" s="5"/>
      <c r="V418" s="5"/>
      <c r="W418" s="5"/>
      <c r="X418" s="5"/>
      <c r="Y418" s="5"/>
      <c r="Z418" s="5"/>
      <c r="AA418" s="5"/>
    </row>
    <row r="419" spans="2:46" ht="22" customHeight="1" x14ac:dyDescent="0.25">
      <c r="B419" s="410" t="s">
        <v>1649</v>
      </c>
      <c r="F419" s="1694" t="s">
        <v>1650</v>
      </c>
      <c r="G419"/>
      <c r="O419" s="5"/>
      <c r="P419" s="5"/>
      <c r="Q419" s="5"/>
      <c r="R419" s="5"/>
      <c r="S419" s="5"/>
      <c r="T419" s="5"/>
      <c r="U419" s="5"/>
      <c r="V419" s="5"/>
      <c r="W419" s="5"/>
      <c r="X419" s="5"/>
      <c r="Y419" s="5"/>
      <c r="Z419" s="5"/>
      <c r="AA419" s="5"/>
    </row>
    <row r="420" spans="2:46" ht="22" customHeight="1" x14ac:dyDescent="0.2">
      <c r="B420" t="s">
        <v>1635</v>
      </c>
      <c r="G420" s="1694"/>
      <c r="J420" s="291" t="s">
        <v>1676</v>
      </c>
      <c r="O420" s="5"/>
      <c r="P420" s="5"/>
      <c r="Q420" s="5"/>
      <c r="R420" s="5"/>
      <c r="S420" s="5"/>
      <c r="T420" s="5"/>
      <c r="U420" s="5"/>
      <c r="V420" s="5"/>
      <c r="W420" s="5"/>
      <c r="X420" s="5"/>
      <c r="Y420" s="5"/>
      <c r="Z420" s="5"/>
      <c r="AA420" s="5"/>
    </row>
    <row r="421" spans="2:46" ht="22" customHeight="1" x14ac:dyDescent="0.25">
      <c r="G421" s="1694"/>
      <c r="O421" s="5"/>
      <c r="P421" s="5"/>
      <c r="Q421" s="5"/>
      <c r="R421" s="1813" t="s">
        <v>1991</v>
      </c>
      <c r="S421" s="5"/>
      <c r="T421" s="5"/>
      <c r="U421" s="5"/>
      <c r="V421" s="5"/>
      <c r="W421" s="5"/>
      <c r="X421" s="5"/>
      <c r="Y421" s="5"/>
      <c r="Z421" s="5"/>
      <c r="AA421" s="5"/>
    </row>
    <row r="423" spans="2:46" ht="29" customHeight="1" x14ac:dyDescent="0.25">
      <c r="B423" s="5"/>
      <c r="C423" s="5"/>
      <c r="E423" s="2528" t="s">
        <v>225</v>
      </c>
      <c r="F423" s="2528"/>
      <c r="G423" s="2528"/>
      <c r="O423" s="5"/>
      <c r="P423" s="5"/>
      <c r="Q423" s="5"/>
      <c r="R423" s="5"/>
      <c r="S423" s="5"/>
      <c r="T423" s="2531" t="s">
        <v>1700</v>
      </c>
      <c r="U423" s="2531"/>
      <c r="V423" s="2531"/>
      <c r="W423" s="2531"/>
      <c r="X423" s="2531"/>
      <c r="Y423" s="1786"/>
      <c r="Z423" s="2532" t="s">
        <v>1702</v>
      </c>
      <c r="AA423" s="2532"/>
      <c r="AB423" s="2532"/>
      <c r="AC423" s="2532"/>
      <c r="AD423" s="2532"/>
    </row>
    <row r="424" spans="2:46" ht="14" customHeight="1" x14ac:dyDescent="0.25">
      <c r="B424" s="5"/>
      <c r="C424" s="5"/>
      <c r="E424" s="591"/>
      <c r="F424" s="591"/>
      <c r="G424" s="591"/>
      <c r="O424" s="5"/>
      <c r="P424" s="5"/>
      <c r="Q424" s="5"/>
      <c r="R424" s="5"/>
      <c r="S424" s="5"/>
      <c r="T424" s="1786"/>
      <c r="U424" s="1786"/>
      <c r="V424" s="1786"/>
      <c r="W424" s="1786"/>
      <c r="X424" s="1786"/>
      <c r="Y424" s="1786"/>
      <c r="Z424" s="1787"/>
      <c r="AA424" s="1812">
        <v>0.25</v>
      </c>
      <c r="AB424" s="1812">
        <v>0.38</v>
      </c>
      <c r="AC424" s="1812">
        <f>1-AA424-AB424</f>
        <v>0.37</v>
      </c>
      <c r="AD424" s="1787"/>
    </row>
    <row r="425" spans="2:46" ht="31" customHeight="1" x14ac:dyDescent="0.2">
      <c r="C425" s="5"/>
      <c r="D425" s="832" t="s">
        <v>281</v>
      </c>
      <c r="E425" s="706" t="s">
        <v>1642</v>
      </c>
      <c r="F425" s="706" t="s">
        <v>1643</v>
      </c>
      <c r="I425" s="706" t="s">
        <v>1644</v>
      </c>
      <c r="N425" s="5"/>
      <c r="O425" s="5"/>
      <c r="P425" s="5"/>
      <c r="Q425" s="5"/>
      <c r="R425" s="5"/>
      <c r="S425" s="5"/>
      <c r="T425" s="1" t="s">
        <v>1698</v>
      </c>
      <c r="U425" s="1" t="s">
        <v>1082</v>
      </c>
      <c r="V425" s="1" t="s">
        <v>26</v>
      </c>
      <c r="W425" s="1" t="s">
        <v>27</v>
      </c>
      <c r="X425" s="1" t="s">
        <v>1699</v>
      </c>
      <c r="Y425" s="1"/>
      <c r="Z425" s="1" t="s">
        <v>1701</v>
      </c>
      <c r="AA425" s="1" t="s">
        <v>1082</v>
      </c>
      <c r="AB425" s="1" t="s">
        <v>26</v>
      </c>
      <c r="AC425" s="1" t="s">
        <v>27</v>
      </c>
      <c r="AD425" s="1" t="s">
        <v>1699</v>
      </c>
    </row>
    <row r="426" spans="2:46" ht="20" customHeight="1" x14ac:dyDescent="0.2">
      <c r="C426" s="5"/>
      <c r="D426" s="832"/>
      <c r="E426" s="706" t="s">
        <v>1969</v>
      </c>
      <c r="F426" s="706" t="s">
        <v>1970</v>
      </c>
      <c r="G426" s="5" t="s">
        <v>1971</v>
      </c>
      <c r="H426" s="5" t="s">
        <v>1972</v>
      </c>
      <c r="I426" s="706"/>
      <c r="N426" s="5"/>
      <c r="O426" s="5"/>
      <c r="P426" s="5"/>
      <c r="Q426" s="5"/>
      <c r="R426" s="5"/>
      <c r="S426" s="5"/>
      <c r="T426" s="1"/>
      <c r="U426" s="1"/>
      <c r="V426" s="1"/>
      <c r="W426" s="1"/>
      <c r="X426" s="1"/>
      <c r="Y426" s="1"/>
      <c r="Z426" s="1"/>
      <c r="AA426" s="1"/>
      <c r="AB426" s="1"/>
      <c r="AC426" s="1"/>
      <c r="AD426" s="1"/>
    </row>
    <row r="427" spans="2:46" ht="73" customHeight="1" x14ac:dyDescent="0.2">
      <c r="C427" s="2" t="s">
        <v>1589</v>
      </c>
      <c r="D427" s="1135">
        <f>'Modèle Calcul A-R + Sommaire'!AH20</f>
        <v>331</v>
      </c>
      <c r="E427" s="5">
        <v>0</v>
      </c>
      <c r="F427" s="90">
        <f>'Modèle Calcul A-R + Sommaire'!AL20</f>
        <v>167</v>
      </c>
      <c r="G427" s="90">
        <f>AB427</f>
        <v>242.75</v>
      </c>
      <c r="H427" s="90">
        <f>AC427</f>
        <v>357.89</v>
      </c>
      <c r="I427" s="90">
        <f>'Modèle Calcul A-R + Sommaire'!AM20</f>
        <v>470</v>
      </c>
      <c r="N427" s="5"/>
      <c r="O427" s="5"/>
      <c r="P427" s="5"/>
      <c r="Q427" s="5"/>
      <c r="R427" s="5"/>
      <c r="S427" s="2" t="s">
        <v>1589</v>
      </c>
      <c r="T427" s="706" t="s">
        <v>1707</v>
      </c>
      <c r="U427" s="706" t="s">
        <v>1708</v>
      </c>
      <c r="V427" s="706"/>
      <c r="W427" s="706"/>
      <c r="X427" s="706"/>
      <c r="Y427" s="5"/>
      <c r="Z427" s="90">
        <v>0</v>
      </c>
      <c r="AA427" s="90">
        <f>$F427</f>
        <v>167</v>
      </c>
      <c r="AB427" s="90">
        <f>AA427+AA$424*($I427-$F427)</f>
        <v>242.75</v>
      </c>
      <c r="AC427" s="90">
        <f>$AB427+AB$424*($I427-$F427)</f>
        <v>357.89</v>
      </c>
      <c r="AD427" s="1771" t="s">
        <v>1703</v>
      </c>
    </row>
    <row r="428" spans="2:46" ht="60" customHeight="1" x14ac:dyDescent="0.2">
      <c r="C428" s="2" t="s">
        <v>1590</v>
      </c>
      <c r="D428" s="1135">
        <f>'Modèle Calcul A-R + Sommaire'!AI20</f>
        <v>321</v>
      </c>
      <c r="E428" s="5">
        <v>0</v>
      </c>
      <c r="F428" s="90">
        <f>'Modèle Calcul A-R + Sommaire'!AN20</f>
        <v>252</v>
      </c>
      <c r="G428" s="90">
        <f t="shared" ref="G428:G429" si="9">AB428</f>
        <v>312.75</v>
      </c>
      <c r="H428" s="90">
        <f t="shared" ref="H428:H429" si="10">AC428</f>
        <v>405.09000000000003</v>
      </c>
      <c r="I428" s="90">
        <f>'Modèle Calcul A-R + Sommaire'!AO20</f>
        <v>495</v>
      </c>
      <c r="N428" s="5"/>
      <c r="O428" s="5"/>
      <c r="P428" s="5"/>
      <c r="Q428" s="5"/>
      <c r="R428" s="5"/>
      <c r="S428" s="2" t="s">
        <v>1590</v>
      </c>
      <c r="T428" s="706"/>
      <c r="U428" s="706"/>
      <c r="V428" s="706"/>
      <c r="W428" s="706"/>
      <c r="X428" s="706"/>
      <c r="Y428" s="5"/>
      <c r="Z428" s="90">
        <v>0</v>
      </c>
      <c r="AA428" s="90">
        <f t="shared" ref="AA428" si="11">$F428</f>
        <v>252</v>
      </c>
      <c r="AB428" s="90">
        <f>AA428+AA$424*($I428-$F428)</f>
        <v>312.75</v>
      </c>
      <c r="AC428" s="90">
        <f>$AB428+AB$424*($I428-$F428)</f>
        <v>405.09000000000003</v>
      </c>
      <c r="AD428" s="1771" t="s">
        <v>1703</v>
      </c>
    </row>
    <row r="429" spans="2:46" ht="60" customHeight="1" x14ac:dyDescent="0.2">
      <c r="C429" s="2" t="s">
        <v>1588</v>
      </c>
      <c r="D429" s="1135">
        <f>'Modèle Calcul A-R + Sommaire'!AG20</f>
        <v>530</v>
      </c>
      <c r="E429" s="5">
        <v>0</v>
      </c>
      <c r="F429" s="90">
        <f>'Modèle Calcul A-R + Sommaire'!AJ20</f>
        <v>348</v>
      </c>
      <c r="G429" s="90">
        <f t="shared" si="9"/>
        <v>473.5</v>
      </c>
      <c r="H429" s="90">
        <f t="shared" si="10"/>
        <v>664.26</v>
      </c>
      <c r="I429" s="90">
        <f>'Modèle Calcul A-R + Sommaire'!AK20</f>
        <v>850</v>
      </c>
      <c r="N429" s="5"/>
      <c r="O429" s="5"/>
      <c r="P429" s="5"/>
      <c r="Q429" s="5"/>
      <c r="R429" s="5"/>
      <c r="S429" s="2" t="s">
        <v>1588</v>
      </c>
      <c r="T429" s="706"/>
      <c r="U429" s="706"/>
      <c r="V429" s="5"/>
      <c r="W429" s="5"/>
      <c r="X429" s="5"/>
      <c r="Y429" s="5"/>
      <c r="Z429" s="90">
        <v>0</v>
      </c>
      <c r="AA429" s="90">
        <f>$F429</f>
        <v>348</v>
      </c>
      <c r="AB429" s="90">
        <f>AA429+AA$424*($I429-$F429)</f>
        <v>473.5</v>
      </c>
      <c r="AC429" s="90">
        <f>$AB429+AB$424*($I429-$F429)</f>
        <v>664.26</v>
      </c>
      <c r="AD429" s="1771" t="s">
        <v>1703</v>
      </c>
    </row>
    <row r="430" spans="2:46" ht="35" customHeight="1" x14ac:dyDescent="0.2">
      <c r="C430" s="2"/>
      <c r="D430" s="90"/>
      <c r="F430" s="5"/>
      <c r="G430" s="90"/>
      <c r="H430" s="90"/>
      <c r="J430"/>
      <c r="N430" s="5"/>
      <c r="O430" s="5"/>
      <c r="P430" s="5"/>
      <c r="Q430" s="5"/>
      <c r="R430" s="5"/>
      <c r="S430" s="2150">
        <f>'Indice VC'!I30</f>
        <v>2</v>
      </c>
      <c r="T430" s="291" t="str">
        <f>'Indice VC'!J30</f>
        <v/>
      </c>
      <c r="U430" s="5"/>
      <c r="V430" s="5"/>
      <c r="W430" s="5"/>
      <c r="X430" s="5"/>
      <c r="Y430" s="5"/>
      <c r="Z430" s="90"/>
      <c r="AA430" s="90"/>
      <c r="AB430" s="90"/>
      <c r="AC430" s="90"/>
    </row>
    <row r="431" spans="2:46" ht="22" customHeight="1" x14ac:dyDescent="0.3">
      <c r="B431" s="606"/>
      <c r="D431" s="1" t="s">
        <v>1699</v>
      </c>
      <c r="G431" s="1737"/>
      <c r="N431" s="5"/>
      <c r="O431" s="5"/>
      <c r="P431" s="5"/>
      <c r="Q431" s="5"/>
      <c r="R431" s="5"/>
      <c r="S431" s="2150">
        <f>'Indice VC'!I31</f>
        <v>21</v>
      </c>
      <c r="T431" s="291" t="str">
        <f>'Indice VC'!J31</f>
        <v>Des signes de violence conjugale ont été relevé dans vos réponses, consultez SOS Violence conjugale</v>
      </c>
      <c r="U431" s="5"/>
      <c r="V431" s="5"/>
      <c r="W431" s="5"/>
      <c r="X431" s="5"/>
      <c r="Y431" s="5"/>
      <c r="Z431" s="5"/>
      <c r="AA431" s="90"/>
      <c r="AO431" s="3"/>
      <c r="AP431" s="3"/>
      <c r="AQ431" s="3"/>
      <c r="AR431" s="3"/>
      <c r="AS431" s="3"/>
      <c r="AT431" s="3"/>
    </row>
    <row r="432" spans="2:46" ht="22" customHeight="1" x14ac:dyDescent="0.3">
      <c r="B432" s="606"/>
      <c r="D432" s="1771" t="s">
        <v>1703</v>
      </c>
      <c r="G432" s="1737"/>
      <c r="N432" s="5"/>
      <c r="O432" s="5"/>
      <c r="P432" s="5"/>
      <c r="Q432" s="5"/>
      <c r="R432" s="5"/>
      <c r="S432" s="2150"/>
      <c r="T432" s="291"/>
      <c r="U432" s="5"/>
      <c r="V432" s="5"/>
      <c r="W432" s="5"/>
      <c r="X432" s="5"/>
      <c r="Y432" s="5"/>
      <c r="Z432" s="5"/>
      <c r="AA432" s="90"/>
      <c r="AO432" s="3"/>
      <c r="AP432" s="3"/>
      <c r="AQ432" s="3"/>
      <c r="AR432" s="3"/>
      <c r="AS432" s="3"/>
      <c r="AT432" s="3"/>
    </row>
    <row r="433" spans="1:32" ht="23" customHeight="1" x14ac:dyDescent="0.2">
      <c r="G433" s="1694"/>
      <c r="J433" s="25"/>
      <c r="K433" s="25"/>
      <c r="M433" s="291"/>
    </row>
    <row r="434" spans="1:32" ht="53" customHeight="1" x14ac:dyDescent="0.25">
      <c r="A434" s="2486"/>
      <c r="B434" s="34" t="str">
        <f>'Contexte | CSS'!D1</f>
        <v>Votre contexte familial présente-t-il un risque de conflit parental ?</v>
      </c>
      <c r="I434" s="1694" t="s">
        <v>1983</v>
      </c>
      <c r="M434" s="3"/>
      <c r="O434" s="5"/>
      <c r="P434" s="5"/>
      <c r="Q434" s="5"/>
      <c r="R434" s="5"/>
      <c r="S434" s="5"/>
      <c r="T434" s="5"/>
      <c r="U434" s="5"/>
      <c r="V434" s="5"/>
      <c r="W434" s="5"/>
      <c r="X434" s="5"/>
      <c r="Y434" s="5"/>
      <c r="Z434" s="5"/>
      <c r="AA434" s="5"/>
    </row>
    <row r="435" spans="1:32" ht="21" x14ac:dyDescent="0.25">
      <c r="A435" s="2486"/>
      <c r="B435" s="1759"/>
      <c r="E435" s="1772"/>
      <c r="M435"/>
      <c r="O435" s="5"/>
      <c r="P435" s="5"/>
      <c r="Q435" s="5"/>
      <c r="R435" s="5"/>
      <c r="S435" s="5"/>
      <c r="T435" s="5"/>
      <c r="U435" s="2536"/>
      <c r="V435" s="2536"/>
      <c r="W435" s="2536"/>
      <c r="X435" s="2536"/>
      <c r="Y435" s="2536"/>
      <c r="Z435" s="1942"/>
      <c r="AA435" s="2472"/>
      <c r="AB435" s="2472"/>
      <c r="AC435" s="2472"/>
      <c r="AD435" s="2472"/>
      <c r="AE435" s="2472"/>
    </row>
    <row r="436" spans="1:32" ht="17" customHeight="1" x14ac:dyDescent="0.25">
      <c r="A436" s="2486"/>
      <c r="B436" s="2526"/>
      <c r="C436" s="2526"/>
      <c r="D436" s="3"/>
      <c r="E436" s="3"/>
      <c r="F436" s="3"/>
      <c r="G436" s="3"/>
      <c r="H436"/>
      <c r="J436" s="1773" t="s">
        <v>1656</v>
      </c>
      <c r="O436" s="5"/>
      <c r="P436" s="5"/>
      <c r="Q436" s="5"/>
      <c r="R436" s="5"/>
      <c r="S436" s="5"/>
      <c r="T436" s="5"/>
      <c r="U436" s="1942"/>
      <c r="V436" s="1942"/>
      <c r="W436" s="1942"/>
      <c r="X436" s="1942"/>
      <c r="Y436" s="1942"/>
      <c r="Z436" s="1942"/>
      <c r="AA436" s="5"/>
      <c r="AB436" s="66"/>
      <c r="AC436" s="66"/>
      <c r="AD436" s="66"/>
      <c r="AE436" s="5"/>
      <c r="AF436" s="5"/>
    </row>
    <row r="437" spans="1:32" x14ac:dyDescent="0.2">
      <c r="A437" s="2486"/>
      <c r="B437" s="5"/>
      <c r="C437" s="832" t="s">
        <v>281</v>
      </c>
      <c r="D437" s="1771" t="s">
        <v>1672</v>
      </c>
      <c r="H437"/>
      <c r="N437" s="5"/>
      <c r="O437" s="5"/>
      <c r="P437" s="5"/>
      <c r="Q437" s="5"/>
      <c r="U437" s="1"/>
      <c r="V437" s="1"/>
      <c r="W437" s="1"/>
      <c r="X437" s="1"/>
      <c r="Y437" s="1"/>
      <c r="Z437" s="1"/>
      <c r="AA437" s="1"/>
      <c r="AB437" s="1"/>
      <c r="AC437" s="1"/>
      <c r="AD437" s="1"/>
      <c r="AE437" s="1"/>
      <c r="AF437" s="1"/>
    </row>
    <row r="438" spans="1:32" x14ac:dyDescent="0.2">
      <c r="B438" s="2" t="s">
        <v>1984</v>
      </c>
      <c r="C438" s="1761">
        <f>'Contexte | CSS'!H37</f>
        <v>63</v>
      </c>
      <c r="D438" s="1373"/>
      <c r="H438" s="5" t="s">
        <v>1068</v>
      </c>
      <c r="I438" s="5" t="s">
        <v>358</v>
      </c>
      <c r="J438" s="5" t="s">
        <v>26</v>
      </c>
      <c r="K438" s="5" t="s">
        <v>1524</v>
      </c>
      <c r="N438" s="5"/>
      <c r="O438" s="5"/>
      <c r="P438" s="5"/>
      <c r="Q438" s="5"/>
      <c r="R438" s="2074"/>
      <c r="S438" s="2074"/>
      <c r="T438" s="2074"/>
      <c r="U438" s="2074"/>
      <c r="V438" s="2074"/>
      <c r="W438" s="1941"/>
      <c r="X438" s="2074"/>
      <c r="Y438" s="1941"/>
      <c r="Z438" s="2074"/>
      <c r="AA438" s="2074"/>
      <c r="AB438" s="2074"/>
      <c r="AC438" s="1941"/>
      <c r="AD438" s="1941"/>
      <c r="AE438" s="1941"/>
      <c r="AF438" s="1941"/>
    </row>
    <row r="439" spans="1:32" x14ac:dyDescent="0.2">
      <c r="C439" s="4" t="str">
        <f>'Contexte | CSS'!H38</f>
        <v>Risque modéré</v>
      </c>
      <c r="F439" s="5"/>
      <c r="H439"/>
      <c r="N439" s="5"/>
      <c r="O439" s="5"/>
      <c r="P439" s="5"/>
      <c r="Q439" s="5"/>
      <c r="R439" s="2074"/>
      <c r="S439" s="1941"/>
      <c r="T439" s="1941"/>
      <c r="U439" s="2074"/>
      <c r="V439" s="2074"/>
      <c r="W439" s="2074"/>
      <c r="X439" s="2074"/>
      <c r="Y439" s="2383"/>
      <c r="Z439" s="2383"/>
      <c r="AA439" s="2383"/>
      <c r="AB439" s="2383"/>
      <c r="AC439" s="2383"/>
      <c r="AD439" s="2383"/>
      <c r="AE439" s="2383"/>
      <c r="AF439" s="2074"/>
    </row>
    <row r="440" spans="1:32" x14ac:dyDescent="0.2">
      <c r="D440" s="1" t="s">
        <v>1647</v>
      </c>
      <c r="G440" s="291"/>
      <c r="S440" s="5"/>
      <c r="T440" s="2"/>
      <c r="U440" s="706"/>
      <c r="V440" s="706"/>
      <c r="W440" s="706"/>
      <c r="X440" s="706"/>
      <c r="Y440" s="706"/>
      <c r="Z440" s="706"/>
      <c r="AA440" s="90"/>
      <c r="AB440" s="90"/>
      <c r="AC440" s="90"/>
      <c r="AD440" s="90"/>
      <c r="AE440" s="90"/>
      <c r="AF440" s="90"/>
    </row>
    <row r="441" spans="1:32" ht="19" customHeight="1" x14ac:dyDescent="0.2">
      <c r="C441" s="5" t="str">
        <f>'Contexte | CSS'!I8</f>
        <v>Absent</v>
      </c>
      <c r="D441" s="5" t="str">
        <f>'Contexte | CSS'!$AK$11&amp;" à "&amp;'Contexte | CSS'!$AL$11</f>
        <v>0 à 17</v>
      </c>
      <c r="G441" s="291"/>
      <c r="AA441" s="5"/>
      <c r="AB441" s="5"/>
      <c r="AC441" s="5"/>
      <c r="AD441" s="5"/>
      <c r="AE441" s="5"/>
      <c r="AF441" s="5"/>
    </row>
    <row r="442" spans="1:32" x14ac:dyDescent="0.2">
      <c r="C442" s="5" t="str">
        <f>'Contexte | CSS'!J8</f>
        <v>Faible</v>
      </c>
      <c r="D442" s="5" t="str">
        <f>'Contexte | CSS'!AK12&amp;" à "&amp;'Contexte | CSS'!AL12</f>
        <v>18 à 52</v>
      </c>
      <c r="G442" s="291"/>
      <c r="W442" s="706"/>
      <c r="AA442" s="5"/>
      <c r="AB442" s="5"/>
      <c r="AC442" s="5"/>
      <c r="AD442" s="5"/>
      <c r="AE442" s="5"/>
      <c r="AF442" s="5"/>
    </row>
    <row r="443" spans="1:32" x14ac:dyDescent="0.2">
      <c r="C443" s="5" t="str">
        <f>'Contexte | CSS'!K8</f>
        <v>Modéré</v>
      </c>
      <c r="D443" s="5" t="str">
        <f>'Contexte | CSS'!AK13&amp;" à "&amp;'Contexte | CSS'!AL13</f>
        <v>53 à 103</v>
      </c>
      <c r="G443" s="291"/>
      <c r="W443" s="706"/>
      <c r="AA443" s="5"/>
      <c r="AB443" s="5"/>
      <c r="AC443" s="5"/>
      <c r="AD443" s="5"/>
      <c r="AE443" s="5"/>
      <c r="AF443" s="5"/>
    </row>
    <row r="444" spans="1:32" x14ac:dyDescent="0.2">
      <c r="C444" s="5" t="str">
        <f>'Contexte | CSS'!L8</f>
        <v>Élevé</v>
      </c>
      <c r="D444" s="5" t="str">
        <f>'Contexte | CSS'!AK14&amp;" à "&amp;'Contexte | CSS'!AL14</f>
        <v>104 à 160</v>
      </c>
      <c r="G444" s="291"/>
      <c r="W444" s="706"/>
      <c r="AA444" s="5"/>
      <c r="AB444" s="5"/>
      <c r="AC444" s="5"/>
      <c r="AD444" s="5"/>
      <c r="AE444" s="5"/>
      <c r="AF444" s="5"/>
    </row>
    <row r="445" spans="1:32" x14ac:dyDescent="0.2">
      <c r="C445" s="5"/>
      <c r="G445" s="291"/>
      <c r="W445" s="706"/>
      <c r="AA445" s="5"/>
      <c r="AB445" s="5"/>
      <c r="AC445" s="5"/>
      <c r="AD445" s="5"/>
      <c r="AE445" s="5"/>
      <c r="AF445" s="5"/>
    </row>
    <row r="446" spans="1:32" x14ac:dyDescent="0.2">
      <c r="G446" s="291"/>
      <c r="AA446" s="5"/>
      <c r="AB446" s="5"/>
      <c r="AC446" s="5"/>
      <c r="AD446" s="5"/>
      <c r="AE446" s="5"/>
      <c r="AF446" s="5"/>
    </row>
    <row r="447" spans="1:32" x14ac:dyDescent="0.2">
      <c r="G447" s="291"/>
      <c r="AA447" s="5"/>
      <c r="AB447" s="5"/>
      <c r="AC447" s="5"/>
      <c r="AD447" s="5"/>
      <c r="AE447" s="5"/>
      <c r="AF447" s="5"/>
    </row>
    <row r="448" spans="1:32" ht="57" customHeight="1" x14ac:dyDescent="0.2">
      <c r="G448" s="2288" t="s">
        <v>2105</v>
      </c>
      <c r="H448" s="2524"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I448" s="2524"/>
      <c r="J448" s="2524"/>
      <c r="K448" s="2524"/>
      <c r="L448" s="2524"/>
      <c r="M448" s="2524"/>
      <c r="N448" s="2524"/>
      <c r="AA448" s="5"/>
      <c r="AB448" s="5"/>
      <c r="AC448" s="5"/>
      <c r="AD448" s="5"/>
      <c r="AE448" s="5"/>
      <c r="AF448" s="5"/>
    </row>
    <row r="449" spans="1:46" ht="22" customHeight="1" x14ac:dyDescent="0.3">
      <c r="B449" s="606"/>
      <c r="G449" s="1737"/>
      <c r="N449" s="5"/>
      <c r="O449" s="5"/>
      <c r="P449" s="5"/>
      <c r="Q449" s="5"/>
      <c r="R449" s="5"/>
      <c r="S449" s="2150"/>
      <c r="T449" s="291"/>
      <c r="U449" s="5"/>
      <c r="V449" s="5"/>
      <c r="W449" s="5"/>
      <c r="X449" s="5"/>
      <c r="Y449" s="5"/>
      <c r="Z449" s="5"/>
      <c r="AA449" s="90"/>
      <c r="AO449" s="3"/>
      <c r="AP449" s="3"/>
      <c r="AQ449" s="3"/>
      <c r="AR449" s="3"/>
      <c r="AS449" s="3"/>
      <c r="AT449" s="3"/>
    </row>
    <row r="450" spans="1:46" ht="52" customHeight="1" x14ac:dyDescent="0.2">
      <c r="A450" s="2537"/>
      <c r="B450" s="2289" t="str">
        <f>'Cpts miroirs des parents'!D5</f>
        <v>Est-ce que les coparents tendent vers une saine coparentalité ?</v>
      </c>
      <c r="C450" s="5"/>
      <c r="E450"/>
      <c r="G450" s="1694" t="s">
        <v>1651</v>
      </c>
      <c r="L450" s="1756"/>
      <c r="M450" s="291"/>
      <c r="Q450" s="5"/>
      <c r="R450" s="5"/>
      <c r="T450" s="5"/>
      <c r="U450" s="5"/>
      <c r="V450" s="5"/>
      <c r="W450" s="5"/>
      <c r="X450" s="5"/>
      <c r="Y450" s="5"/>
      <c r="Z450" s="5"/>
      <c r="AA450" s="5"/>
      <c r="AO450" s="2163"/>
      <c r="AP450" s="2163"/>
      <c r="AQ450" s="2163"/>
      <c r="AR450" s="2163"/>
      <c r="AS450" s="2163"/>
      <c r="AT450" s="2163"/>
    </row>
    <row r="451" spans="1:46" ht="21" x14ac:dyDescent="0.25">
      <c r="A451" s="2537"/>
      <c r="C451" s="5"/>
      <c r="E451"/>
      <c r="F451" s="1694"/>
      <c r="H451" s="1783" t="s">
        <v>1685</v>
      </c>
      <c r="L451" s="291"/>
      <c r="Q451" s="5"/>
      <c r="S451" s="5"/>
      <c r="T451" s="49"/>
      <c r="U451" s="49"/>
      <c r="V451" s="49"/>
      <c r="W451" s="49"/>
      <c r="X451" s="49"/>
      <c r="Y451" s="49"/>
      <c r="Z451" s="2472"/>
      <c r="AA451" s="2472"/>
      <c r="AB451" s="2472"/>
      <c r="AC451" s="2472"/>
      <c r="AD451" s="2472"/>
      <c r="AE451" s="2472"/>
      <c r="AO451" s="2163"/>
      <c r="AP451" s="2163"/>
      <c r="AQ451" s="2163"/>
      <c r="AR451" s="2163"/>
      <c r="AS451" s="2163"/>
      <c r="AT451" s="2163"/>
    </row>
    <row r="452" spans="1:46" ht="21" customHeight="1" x14ac:dyDescent="0.2">
      <c r="A452" s="2537"/>
      <c r="C452" s="5"/>
      <c r="E452"/>
      <c r="F452" s="1373"/>
      <c r="M452"/>
      <c r="P452" s="2533"/>
      <c r="Q452" s="2533"/>
      <c r="R452" s="2533"/>
      <c r="S452" s="13"/>
      <c r="T452" s="3"/>
      <c r="U452" s="2529"/>
      <c r="V452" s="2529"/>
      <c r="X452" s="3"/>
      <c r="Y452" s="3"/>
      <c r="Z452" s="2529"/>
      <c r="AA452" s="2529"/>
      <c r="AB452" s="2529"/>
      <c r="AC452" s="2529"/>
      <c r="AD452" s="2529"/>
      <c r="AE452" s="2529"/>
      <c r="AJ452" s="291" t="s">
        <v>1673</v>
      </c>
    </row>
    <row r="453" spans="1:46" ht="17" customHeight="1" x14ac:dyDescent="0.2">
      <c r="A453" s="2537"/>
      <c r="C453" s="591"/>
      <c r="D453" s="1264" t="s">
        <v>1535</v>
      </c>
      <c r="E453" s="1696" t="s">
        <v>409</v>
      </c>
      <c r="F453" s="5"/>
      <c r="H453" s="1785"/>
      <c r="I453" s="1784"/>
      <c r="M453"/>
      <c r="P453" s="2533"/>
      <c r="Q453" s="2533"/>
      <c r="R453" s="2533"/>
      <c r="S453" s="706"/>
      <c r="T453" s="736"/>
      <c r="U453" s="2534"/>
      <c r="V453" s="2534"/>
      <c r="X453" s="2163"/>
      <c r="Y453" s="2163"/>
      <c r="Z453" s="5"/>
      <c r="AA453" s="5"/>
      <c r="AB453" s="5"/>
      <c r="AC453" s="2384"/>
      <c r="AD453" s="5"/>
      <c r="AE453" s="2384"/>
    </row>
    <row r="454" spans="1:46" ht="17" customHeight="1" x14ac:dyDescent="0.25">
      <c r="A454" s="2319"/>
      <c r="C454" s="591"/>
      <c r="D454" s="1264"/>
      <c r="E454" s="1696"/>
      <c r="F454" s="5"/>
      <c r="H454" s="1785"/>
      <c r="I454" s="1784"/>
      <c r="M454"/>
      <c r="Q454" s="5"/>
      <c r="R454" s="2164"/>
      <c r="S454" s="13"/>
      <c r="T454" s="706"/>
      <c r="U454" s="2534"/>
      <c r="V454" s="2534"/>
      <c r="X454" s="2163"/>
      <c r="Y454" s="2163"/>
      <c r="Z454" s="5"/>
      <c r="AA454" s="5"/>
      <c r="AB454" s="5"/>
      <c r="AC454" s="2384"/>
      <c r="AD454" s="5"/>
      <c r="AE454" s="2384"/>
    </row>
    <row r="455" spans="1:46" ht="27" customHeight="1" x14ac:dyDescent="0.2">
      <c r="A455" s="2538" t="str">
        <f>'Cpts miroirs des parents'!C4</f>
        <v>Le désir de coparentalité, engagement à faire équipe, et respect de la valeur parentale du coparent</v>
      </c>
      <c r="C455" s="2" t="str">
        <f>IF(OR('Cpts miroirs des parents'!AC19="",'Cpts miroirs des parents'!AD19=""),"",'Cpts miroirs des parents'!AB19)</f>
        <v>Est serein·e face à la séparation</v>
      </c>
      <c r="D455" s="1685">
        <f>'Cpts miroirs des parents'!AC19</f>
        <v>4</v>
      </c>
      <c r="E455" s="1685">
        <f>'Cpts miroirs des parents'!AD19</f>
        <v>4</v>
      </c>
      <c r="F455" s="291" t="s">
        <v>2165</v>
      </c>
      <c r="H455" s="1388"/>
      <c r="M455"/>
      <c r="Q455" s="5"/>
      <c r="R455" s="2"/>
      <c r="T455" s="5"/>
      <c r="U455" s="5"/>
      <c r="V455" s="5"/>
      <c r="X455" s="5"/>
      <c r="Y455" s="5"/>
      <c r="Z455" s="291"/>
      <c r="AB455" s="90"/>
      <c r="AC455" s="90"/>
      <c r="AD455" s="1771"/>
      <c r="AE455" s="1771"/>
    </row>
    <row r="456" spans="1:46" ht="27" customHeight="1" x14ac:dyDescent="0.2">
      <c r="A456" s="2538"/>
      <c r="C456" s="2" t="str">
        <f>IF(OR('Cpts miroirs des parents'!AC20="",'Cpts miroirs des parents'!AD20=""),"",'Cpts miroirs des parents'!AB20)</f>
        <v xml:space="preserve">Accepte les exigences de la coparentalité </v>
      </c>
      <c r="D456" s="1685">
        <f>IF(C456="","",'Cpts miroirs des parents'!AC20)</f>
        <v>10</v>
      </c>
      <c r="E456" s="1685">
        <f>IF(C456="","",'Cpts miroirs des parents'!AD20)</f>
        <v>1</v>
      </c>
      <c r="F456" s="291"/>
      <c r="H456" s="1388"/>
      <c r="M456"/>
      <c r="Q456" s="5"/>
      <c r="R456" s="2"/>
      <c r="U456" s="5"/>
      <c r="V456" s="5"/>
      <c r="X456" s="5"/>
      <c r="Y456" s="5"/>
      <c r="AA456" s="90"/>
      <c r="AB456" s="90"/>
      <c r="AC456" s="90"/>
      <c r="AD456" s="1771"/>
      <c r="AE456" s="90"/>
    </row>
    <row r="457" spans="1:46" ht="27" customHeight="1" x14ac:dyDescent="0.2">
      <c r="A457" s="2538"/>
      <c r="C457" s="2" t="str">
        <f>IF(OR('Cpts miroirs des parents'!AC21="",'Cpts miroirs des parents'!AD21=""),"",'Cpts miroirs des parents'!AB21)</f>
        <v xml:space="preserve">Accepte de faire des compromis </v>
      </c>
      <c r="D457" s="1685">
        <f>IF(C457="","",'Cpts miroirs des parents'!AC21)</f>
        <v>10</v>
      </c>
      <c r="E457" s="1685">
        <f>IF(C457="","",'Cpts miroirs des parents'!AD21)</f>
        <v>10</v>
      </c>
      <c r="F457" s="291"/>
      <c r="H457" s="1388"/>
      <c r="M457"/>
      <c r="Q457" s="5"/>
      <c r="R457" s="2"/>
      <c r="T457" s="5"/>
      <c r="U457" s="5"/>
      <c r="V457" s="5"/>
      <c r="X457" s="5"/>
      <c r="Y457" s="5"/>
      <c r="AB457" s="90"/>
      <c r="AC457" s="90"/>
      <c r="AD457" s="1771"/>
    </row>
    <row r="458" spans="1:46" ht="27" customHeight="1" x14ac:dyDescent="0.2">
      <c r="A458" s="2538"/>
      <c r="C458" s="2" t="str">
        <f>IF(OR('Cpts miroirs des parents'!AC22="",'Cpts miroirs des parents'!AD22=""),"",'Cpts miroirs des parents'!AB22)</f>
        <v xml:space="preserve">Respecte la valeur parentale du coparent </v>
      </c>
      <c r="D458" s="1685">
        <f>IF(C458="","",'Cpts miroirs des parents'!AC22)</f>
        <v>10</v>
      </c>
      <c r="E458" s="1685">
        <f>IF(C458="","",'Cpts miroirs des parents'!AD22)</f>
        <v>4</v>
      </c>
      <c r="F458" s="291"/>
      <c r="M458"/>
      <c r="Q458" s="5"/>
      <c r="R458" s="2"/>
      <c r="T458" s="5"/>
      <c r="U458" s="5"/>
      <c r="V458" s="5"/>
      <c r="X458" s="5"/>
      <c r="Y458" s="5"/>
      <c r="AA458" s="1771"/>
    </row>
    <row r="459" spans="1:46" ht="27" customHeight="1" x14ac:dyDescent="0.2">
      <c r="A459" s="2538"/>
      <c r="C459" s="2" t="str">
        <f>IF(OR('Cpts miroirs des parents'!AC23="",'Cpts miroirs des parents'!AD23=""),"",'Cpts miroirs des parents'!AB23)</f>
        <v>Salue l’autre parent lorsqu’il ou elle le croise</v>
      </c>
      <c r="D459" s="1685">
        <f>IF(C459="","",'Cpts miroirs des parents'!AC23)</f>
        <v>4</v>
      </c>
      <c r="E459" s="1685">
        <f>IF(C459="","",'Cpts miroirs des parents'!AD23)</f>
        <v>1</v>
      </c>
      <c r="F459" s="291"/>
      <c r="M459"/>
      <c r="Q459" s="5"/>
      <c r="R459" s="2"/>
      <c r="T459" s="5"/>
      <c r="U459" s="5"/>
      <c r="V459" s="5"/>
      <c r="X459" s="5"/>
      <c r="Y459" s="5"/>
    </row>
    <row r="460" spans="1:46" ht="27" customHeight="1" x14ac:dyDescent="0.2">
      <c r="A460" s="2538"/>
      <c r="C460" s="2" t="str">
        <f>IF(OR('Cpts miroirs des parents'!AC24="",'Cpts miroirs des parents'!AD24=""),"",'Cpts miroirs des parents'!AB24)</f>
        <v xml:space="preserve">Consulte l’autre parent pour les décisions concernant l’enfant </v>
      </c>
      <c r="D460" s="1685">
        <f>IF(C460="","",'Cpts miroirs des parents'!AC24)</f>
        <v>14</v>
      </c>
      <c r="E460" s="1685">
        <f>IF(C460="","",'Cpts miroirs des parents'!AD24)</f>
        <v>4</v>
      </c>
      <c r="F460" s="291"/>
      <c r="M460"/>
      <c r="Q460" s="5"/>
      <c r="R460" s="2"/>
      <c r="T460" s="5"/>
      <c r="U460" s="5"/>
      <c r="V460" s="5"/>
      <c r="X460" s="5"/>
      <c r="Y460" s="5"/>
      <c r="Z460" s="3"/>
    </row>
    <row r="461" spans="1:46" ht="27" customHeight="1" x14ac:dyDescent="0.2">
      <c r="A461" s="2538"/>
      <c r="C461" s="2" t="str">
        <f>IF(OR('Cpts miroirs des parents'!AC25="",'Cpts miroirs des parents'!AD25=""),"",'Cpts miroirs des parents'!AB25)</f>
        <v xml:space="preserve">Respecte l’autorité parentale du coparent </v>
      </c>
      <c r="D461" s="1685">
        <f>IF(C461="","",'Cpts miroirs des parents'!AC25)</f>
        <v>7</v>
      </c>
      <c r="E461" s="1685">
        <f>IF(C461="","",'Cpts miroirs des parents'!AD25)</f>
        <v>2</v>
      </c>
      <c r="F461" s="291"/>
      <c r="M461"/>
      <c r="Q461" s="5"/>
      <c r="R461" s="2"/>
      <c r="T461" s="5"/>
      <c r="U461" s="5"/>
      <c r="V461" s="5"/>
      <c r="X461" s="5"/>
      <c r="Y461" s="5"/>
      <c r="Z461" s="3"/>
    </row>
    <row r="462" spans="1:46" ht="27" customHeight="1" x14ac:dyDescent="0.2">
      <c r="A462" s="2538"/>
      <c r="C462" s="2" t="str">
        <f>IF(OR('Cpts miroirs des parents'!AC26="",'Cpts miroirs des parents'!AD26=""),"",'Cpts miroirs des parents'!AB26)</f>
        <v xml:space="preserve">Évite de faire des reproches au coparent </v>
      </c>
      <c r="D462" s="1685">
        <f>IF(C462="","",'Cpts miroirs des parents'!AC26)</f>
        <v>4</v>
      </c>
      <c r="E462" s="1685">
        <f>IF(C462="","",'Cpts miroirs des parents'!AD26)</f>
        <v>2</v>
      </c>
      <c r="F462" s="291"/>
      <c r="M462"/>
      <c r="Q462" s="5"/>
      <c r="R462" s="2"/>
      <c r="T462" s="5"/>
      <c r="U462" s="5"/>
      <c r="V462" s="5"/>
      <c r="X462" s="5"/>
      <c r="Y462" s="5"/>
      <c r="Z462" s="3"/>
    </row>
    <row r="463" spans="1:46" ht="131" customHeight="1" x14ac:dyDescent="0.25">
      <c r="B463" s="34" t="str">
        <f>'Cpts miroirs des parents'!D11</f>
        <v>Est-ce que votre contexte de coparentalité tend à sécuriser ou à insécuriser votre enfant ?</v>
      </c>
      <c r="C463" s="2"/>
      <c r="D463" s="90"/>
      <c r="E463" s="90"/>
      <c r="F463" s="291"/>
      <c r="G463" s="2288" t="s">
        <v>2105</v>
      </c>
      <c r="H463" s="2538"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c r="I463" s="2538"/>
      <c r="J463" s="2538"/>
      <c r="K463" s="2538"/>
      <c r="L463" s="2538"/>
      <c r="M463" s="2538"/>
      <c r="Q463" s="5"/>
      <c r="R463" s="2164"/>
      <c r="S463" s="5"/>
      <c r="T463" s="5"/>
      <c r="U463" s="5"/>
      <c r="V463" s="5"/>
      <c r="X463" s="5"/>
      <c r="Y463" s="5"/>
    </row>
    <row r="464" spans="1:46" ht="27" customHeight="1" x14ac:dyDescent="0.2">
      <c r="A464" s="2538">
        <f>'Cpts miroirs des parents'!C10</f>
        <v>0</v>
      </c>
      <c r="C464" s="2" t="str">
        <f>IF(OR('Cpts miroirs des parents'!AC32="",'Cpts miroirs des parents'!AD32=""),"",'Cpts miroirs des parents'!AB32)</f>
        <v>Accepte que les objets voyagent d’une maison à l’autre</v>
      </c>
      <c r="D464" s="1685">
        <f>IF(C464="","",'Cpts miroirs des parents'!AC32)</f>
        <v>14</v>
      </c>
      <c r="E464" s="1685">
        <f>IF(C464="","",'Cpts miroirs des parents'!AD32)</f>
        <v>2</v>
      </c>
      <c r="F464" s="291" t="s">
        <v>2165</v>
      </c>
      <c r="K464" s="90"/>
      <c r="M464"/>
      <c r="Q464" s="5"/>
      <c r="R464" s="2"/>
      <c r="T464" s="5"/>
      <c r="U464" s="5"/>
      <c r="V464" s="5"/>
      <c r="X464" s="5"/>
      <c r="Y464" s="5"/>
      <c r="AA464" s="5"/>
    </row>
    <row r="465" spans="1:42" ht="27" customHeight="1" x14ac:dyDescent="0.2">
      <c r="A465" s="2538"/>
      <c r="C465" s="2" t="str">
        <f>IF(OR('Cpts miroirs des parents'!AC33="",'Cpts miroirs des parents'!AD33=""),"",'Cpts miroirs des parents'!AB33)</f>
        <v xml:space="preserve">Protège l'enfant du rôle de messager </v>
      </c>
      <c r="D465" s="1685">
        <f>IF(C465="","",'Cpts miroirs des parents'!AC33)</f>
        <v>8</v>
      </c>
      <c r="E465" s="1685">
        <f>IF(C465="","",'Cpts miroirs des parents'!AD33)</f>
        <v>21</v>
      </c>
      <c r="F465" s="291"/>
      <c r="M465"/>
      <c r="Q465" s="5"/>
      <c r="R465" s="2"/>
      <c r="T465" s="5"/>
      <c r="U465" s="5"/>
      <c r="V465" s="5"/>
      <c r="X465" s="5"/>
      <c r="Y465" s="5"/>
      <c r="AA465" s="2384"/>
    </row>
    <row r="466" spans="1:42" ht="27" customHeight="1" x14ac:dyDescent="0.2">
      <c r="A466" s="2538"/>
      <c r="C466" s="2" t="str">
        <f>IF(OR('Cpts miroirs des parents'!AC34="",'Cpts miroirs des parents'!AD34=""),"",'Cpts miroirs des parents'!AB34)</f>
        <v xml:space="preserve">Protège l'enfant des enjeux de séparation </v>
      </c>
      <c r="D466" s="1685">
        <f>IF(C466="","",'Cpts miroirs des parents'!AC34)</f>
        <v>12</v>
      </c>
      <c r="E466" s="1685">
        <f>IF(C466="","",'Cpts miroirs des parents'!AD34)</f>
        <v>12</v>
      </c>
      <c r="F466" s="291"/>
      <c r="M466"/>
      <c r="Q466" s="5"/>
      <c r="R466" s="2"/>
      <c r="T466" s="5"/>
      <c r="U466" s="5"/>
      <c r="V466" s="5"/>
      <c r="X466" s="5"/>
      <c r="Y466" s="5"/>
      <c r="Z466" s="5"/>
      <c r="AA466" s="5"/>
    </row>
    <row r="467" spans="1:42" ht="27" customHeight="1" x14ac:dyDescent="0.2">
      <c r="A467" s="2538"/>
      <c r="C467" s="2" t="str">
        <f>IF(OR('Cpts miroirs des parents'!AC35="",'Cpts miroirs des parents'!AD35=""),"",'Cpts miroirs des parents'!AB35)</f>
        <v xml:space="preserve">Évite de questionner l’enfant à son retour de garde  </v>
      </c>
      <c r="D467" s="1685">
        <f>IF(C467="","",'Cpts miroirs des parents'!AC35)</f>
        <v>10</v>
      </c>
      <c r="E467" s="1685">
        <f>IF(C467="","",'Cpts miroirs des parents'!AD35)</f>
        <v>4</v>
      </c>
      <c r="F467" s="291"/>
      <c r="M467"/>
      <c r="Q467" s="5"/>
      <c r="R467" s="2"/>
      <c r="T467" s="5"/>
      <c r="U467" s="5"/>
      <c r="V467" s="5"/>
      <c r="X467" s="5"/>
      <c r="Y467" s="5"/>
      <c r="Z467" s="5"/>
      <c r="AA467" s="5"/>
    </row>
    <row r="468" spans="1:42" ht="27" customHeight="1" x14ac:dyDescent="0.25">
      <c r="A468" s="2538"/>
      <c r="C468" s="2" t="str">
        <f>IF(OR('Cpts miroirs des parents'!AC36="",'Cpts miroirs des parents'!AD36=""),"",'Cpts miroirs des parents'!AB36)</f>
        <v/>
      </c>
      <c r="D468" s="1685" t="str">
        <f>IF(C468="","",'Cpts miroirs des parents'!AC36)</f>
        <v/>
      </c>
      <c r="E468" s="1685" t="str">
        <f>IF(C468="","",'Cpts miroirs des parents'!AD36)</f>
        <v/>
      </c>
      <c r="F468" s="291"/>
      <c r="G468" s="1737"/>
      <c r="N468" s="5"/>
      <c r="P468" s="5"/>
      <c r="Q468" s="5"/>
      <c r="R468" s="2"/>
      <c r="T468" s="5"/>
      <c r="U468" s="5"/>
      <c r="V468" s="5"/>
      <c r="X468" s="5"/>
      <c r="Y468" s="5"/>
      <c r="Z468" s="5"/>
      <c r="AA468" s="5"/>
    </row>
    <row r="469" spans="1:42" ht="27" customHeight="1" x14ac:dyDescent="0.25">
      <c r="A469" s="2538"/>
      <c r="C469" s="2" t="str">
        <f>IF(OR('Cpts miroirs des parents'!AC37="",'Cpts miroirs des parents'!AD37=""),"",'Cpts miroirs des parents'!AB37)</f>
        <v>Ne donne pas à l'enfant la responsabilité de choisir</v>
      </c>
      <c r="D469" s="1685">
        <f>IF(C469="","",'Cpts miroirs des parents'!AC37)</f>
        <v>30</v>
      </c>
      <c r="E469" s="1685">
        <f>IF(C469="","",'Cpts miroirs des parents'!AD37)</f>
        <v>3</v>
      </c>
      <c r="F469" s="291"/>
      <c r="G469" s="1737"/>
      <c r="N469" s="5"/>
      <c r="O469" s="5"/>
      <c r="P469" s="5"/>
      <c r="Q469" s="5"/>
      <c r="R469" s="2"/>
      <c r="T469" s="5"/>
      <c r="U469" s="5"/>
      <c r="V469" s="5"/>
      <c r="X469" s="5"/>
      <c r="Y469" s="5"/>
      <c r="Z469" s="5"/>
      <c r="AA469" s="5"/>
      <c r="AK469" s="2296" t="s">
        <v>2110</v>
      </c>
    </row>
    <row r="470" spans="1:42" ht="27" customHeight="1" x14ac:dyDescent="0.25">
      <c r="A470" s="89"/>
      <c r="C470" s="2"/>
      <c r="F470" s="291"/>
      <c r="G470" s="1737"/>
      <c r="N470" s="5"/>
      <c r="O470" s="5"/>
      <c r="P470" s="5"/>
      <c r="Q470" s="5"/>
      <c r="R470" s="2"/>
      <c r="T470" s="5"/>
      <c r="U470" s="5"/>
      <c r="V470" s="5"/>
      <c r="X470" s="5"/>
      <c r="Y470" s="5"/>
      <c r="Z470" s="5"/>
      <c r="AA470" s="5"/>
      <c r="AI470" t="s">
        <v>753</v>
      </c>
      <c r="AJ470" t="str">
        <f>'Cpts préjudiciables parents'!B9</f>
        <v>Altération ou dévoiement de la réalité</v>
      </c>
      <c r="AK470" t="str">
        <f>'Cpts préjudiciables parents'!C9</f>
        <v>Laisse entendre à l'enfant que l'autre parent a abandonné la famille</v>
      </c>
      <c r="AL470" s="90">
        <f>'Cpts préjudiciables parents'!G9</f>
        <v>7</v>
      </c>
      <c r="AM470" s="55" t="str">
        <f>'Cpts préjudiciables parents'!H9</f>
        <v/>
      </c>
      <c r="AN470" t="str" cm="1">
        <f t="array" ref="AN470:AO475">_xlfn.SORTBY(AK470:AL475,AL470:AL475,-1)</f>
        <v>Déforme les souvenirs de l'enfant</v>
      </c>
      <c r="AO470">
        <v>21</v>
      </c>
      <c r="AP470" s="90" t="str">
        <f>IF(AO470="","",IF(OR(AO470&gt;$AL$476,AO470&gt;20),"à inclure",""))</f>
        <v>à inclure</v>
      </c>
    </row>
    <row r="471" spans="1:42" ht="27" customHeight="1" x14ac:dyDescent="0.25">
      <c r="A471" s="89"/>
      <c r="C471" s="2"/>
      <c r="F471" s="291"/>
      <c r="G471" s="1737"/>
      <c r="N471" s="5"/>
      <c r="O471" s="5"/>
      <c r="P471" s="5"/>
      <c r="Q471" s="5"/>
      <c r="R471" s="2"/>
      <c r="T471" s="5"/>
      <c r="U471" s="5"/>
      <c r="V471" s="5"/>
      <c r="X471" s="5"/>
      <c r="Y471" s="5"/>
      <c r="Z471" s="5"/>
      <c r="AA471" s="5"/>
      <c r="AJ471" t="str">
        <f>'Cpts préjudiciables parents'!B10</f>
        <v>Altération ou dévoiement de la réalité</v>
      </c>
      <c r="AK471" t="str">
        <f>'Cpts préjudiciables parents'!C10</f>
        <v>Laisse entendre à l'enfant qu'il n'est pas aimé de l'autre parent</v>
      </c>
      <c r="AL471" s="90">
        <f>'Cpts préjudiciables parents'!G10</f>
        <v>8</v>
      </c>
      <c r="AM471" s="55" t="str">
        <f>'Cpts préjudiciables parents'!H10</f>
        <v/>
      </c>
      <c r="AN471" t="str">
        <v>Laisse entendre à une instabilité psychologique chez l'autre parent</v>
      </c>
      <c r="AO471">
        <v>20</v>
      </c>
      <c r="AP471" s="90" t="str">
        <f t="shared" ref="AP471:AP475" si="12">IF(AO471="","",IF(OR(AO471&gt;$AL$476,AO471&gt;20),"à inclure",""))</f>
        <v>à inclure</v>
      </c>
    </row>
    <row r="472" spans="1:42" ht="27" customHeight="1" x14ac:dyDescent="0.25">
      <c r="C472" s="2"/>
      <c r="D472" s="90"/>
      <c r="E472" s="90"/>
      <c r="F472" s="291"/>
      <c r="G472" s="1737"/>
      <c r="N472" s="5"/>
      <c r="O472" s="5"/>
      <c r="P472" s="5"/>
      <c r="Q472" s="5"/>
      <c r="R472" s="2"/>
      <c r="S472" s="5"/>
      <c r="T472" s="5"/>
      <c r="U472" s="5"/>
      <c r="V472" s="5"/>
      <c r="W472" s="5"/>
      <c r="X472" s="5"/>
      <c r="Y472" s="5"/>
      <c r="Z472" s="5"/>
      <c r="AA472" s="5"/>
      <c r="AJ472" t="str">
        <f>'Cpts préjudiciables parents'!B11</f>
        <v>Altération ou dévoiement de la réalité</v>
      </c>
      <c r="AK472" t="str">
        <f>'Cpts préjudiciables parents'!C11</f>
        <v>Laisse entendre à l'enfant qu'il n'est pas en sécurité avec l'autre parent</v>
      </c>
      <c r="AL472" s="90">
        <f>'Cpts préjudiciables parents'!G11</f>
        <v>14</v>
      </c>
      <c r="AM472" s="55" t="str">
        <f>'Cpts préjudiciables parents'!H11</f>
        <v/>
      </c>
      <c r="AN472" t="str">
        <v>Laisse entendre à l'enfant qu'il n'est pas en sécurité avec l'autre parent</v>
      </c>
      <c r="AO472">
        <v>14</v>
      </c>
      <c r="AP472" s="90" t="str">
        <f t="shared" si="12"/>
        <v/>
      </c>
    </row>
    <row r="473" spans="1:42" ht="48" customHeight="1" x14ac:dyDescent="0.2">
      <c r="C473" s="2"/>
      <c r="D473" s="90"/>
      <c r="E473" s="90"/>
      <c r="F473" s="291"/>
      <c r="G473" s="2288" t="s">
        <v>2105</v>
      </c>
      <c r="H473" s="2533"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c r="I473" s="2533"/>
      <c r="J473" s="2533"/>
      <c r="K473" s="2533"/>
      <c r="L473" s="2533"/>
      <c r="M473" s="2533"/>
      <c r="N473" s="5"/>
      <c r="O473" s="5"/>
      <c r="P473" s="5"/>
      <c r="Q473" s="5"/>
      <c r="R473" s="2"/>
      <c r="S473" s="5"/>
      <c r="T473" s="5"/>
      <c r="U473" s="5"/>
      <c r="V473" s="5"/>
      <c r="W473" s="5"/>
      <c r="X473" s="5"/>
      <c r="Y473" s="5"/>
      <c r="Z473" s="5"/>
      <c r="AA473" s="5"/>
      <c r="AJ473" t="str">
        <f>'Cpts préjudiciables parents'!B12</f>
        <v>Altération ou dévoiement de la réalité</v>
      </c>
      <c r="AK473" t="str">
        <f>'Cpts préjudiciables parents'!C12</f>
        <v>Laisse entendre à une instabilité psychologique chez l'autre parent</v>
      </c>
      <c r="AL473" s="90">
        <f>'Cpts préjudiciables parents'!G12</f>
        <v>20</v>
      </c>
      <c r="AM473" s="55" t="str">
        <f>'Cpts préjudiciables parents'!H12</f>
        <v>à inclure</v>
      </c>
      <c r="AN473" t="str">
        <v>Modifie certains faits passés</v>
      </c>
      <c r="AO473">
        <v>14</v>
      </c>
      <c r="AP473" s="90" t="str">
        <f>IF(AO473="","",IF(OR(AO473&gt;$AL$476,AO473&gt;20),"à inclure",""))</f>
        <v/>
      </c>
    </row>
    <row r="474" spans="1:42" ht="27" customHeight="1" x14ac:dyDescent="0.25">
      <c r="C474" s="2"/>
      <c r="D474" s="90"/>
      <c r="E474" s="90"/>
      <c r="F474" s="291"/>
      <c r="G474" s="1737"/>
      <c r="N474" s="5"/>
      <c r="O474" s="5"/>
      <c r="P474" s="5"/>
      <c r="Q474" s="5"/>
      <c r="R474" s="2"/>
      <c r="S474" s="5"/>
      <c r="T474" s="5"/>
      <c r="U474" s="5"/>
      <c r="V474" s="5"/>
      <c r="W474" s="5"/>
      <c r="X474" s="5"/>
      <c r="Y474" s="5"/>
      <c r="Z474" s="5"/>
      <c r="AA474" s="5"/>
      <c r="AJ474" t="str">
        <f>'Cpts préjudiciables parents'!B13</f>
        <v>Altération ou dévoiement de la réalité</v>
      </c>
      <c r="AK474" t="str">
        <f>'Cpts préjudiciables parents'!C13</f>
        <v>Modifie certains faits passés</v>
      </c>
      <c r="AL474" s="90">
        <f>'Cpts préjudiciables parents'!G13</f>
        <v>14</v>
      </c>
      <c r="AM474" s="55" t="str">
        <f>'Cpts préjudiciables parents'!H13</f>
        <v/>
      </c>
      <c r="AN474" t="str">
        <v>Laisse entendre à l'enfant qu'il n'est pas aimé de l'autre parent</v>
      </c>
      <c r="AO474">
        <v>8</v>
      </c>
      <c r="AP474" s="90" t="str">
        <f t="shared" si="12"/>
        <v/>
      </c>
    </row>
    <row r="475" spans="1:42" x14ac:dyDescent="0.2">
      <c r="A475" s="2538"/>
      <c r="AJ475" t="str">
        <f>'Cpts préjudiciables parents'!B14</f>
        <v>Altération ou dévoiement de la réalité</v>
      </c>
      <c r="AK475" t="str">
        <f>'Cpts préjudiciables parents'!C14</f>
        <v>Déforme les souvenirs de l'enfant</v>
      </c>
      <c r="AL475" s="90">
        <f>'Cpts préjudiciables parents'!G14</f>
        <v>21</v>
      </c>
      <c r="AM475" s="55" t="str">
        <f>'Cpts préjudiciables parents'!H14</f>
        <v>à inclure</v>
      </c>
      <c r="AN475" t="str">
        <v>Laisse entendre à l'enfant que l'autre parent a abandonné la famille</v>
      </c>
      <c r="AO475">
        <v>7</v>
      </c>
      <c r="AP475" s="90" t="str">
        <f t="shared" si="12"/>
        <v/>
      </c>
    </row>
    <row r="476" spans="1:42" x14ac:dyDescent="0.2">
      <c r="A476" s="2538"/>
      <c r="AL476" s="2297">
        <f>'Cpts préjudiciables parents'!G15</f>
        <v>14</v>
      </c>
      <c r="AM476" s="55"/>
    </row>
    <row r="477" spans="1:42" ht="21" x14ac:dyDescent="0.25">
      <c r="A477" s="2538"/>
      <c r="B477" s="34" t="str">
        <f>'Cpts préjudiciables parents'!C2</f>
        <v xml:space="preserve">À quels comportements préjudiciables votre enfant-il exposé ? </v>
      </c>
      <c r="F477" s="1694"/>
      <c r="H477" s="4"/>
      <c r="AJ477" t="str">
        <f>'Cpts préjudiciables parents'!B16</f>
        <v>Chantage affectif, manipulation</v>
      </c>
      <c r="AK477" t="str">
        <f>'Cpts préjudiciables parents'!C16</f>
        <v>Ne salue pas l'autre arent lorsqu'il ou elle le croise</v>
      </c>
      <c r="AL477" s="90">
        <f>'Cpts préjudiciables parents'!G16</f>
        <v>8</v>
      </c>
      <c r="AM477" s="55" t="str">
        <f>'Cpts préjudiciables parents'!H16</f>
        <v>à inclure</v>
      </c>
      <c r="AN477" t="str" cm="1">
        <f t="array" ref="AN477:AO482">_xlfn.SORTBY(AK477:AL482,AL477:AL482,-1)</f>
        <v>Demande à l'enfant à choisir avec qui il veut vivre</v>
      </c>
      <c r="AO477" t="str">
        <v/>
      </c>
      <c r="AP477" s="90" t="str">
        <f>IF(AO477="","",IF(OR(AO477&gt;$AL$483,AO477&gt;20),"à inclure",""))</f>
        <v/>
      </c>
    </row>
    <row r="478" spans="1:42" ht="16" customHeight="1" x14ac:dyDescent="0.2">
      <c r="A478" s="2538"/>
      <c r="D478"/>
      <c r="E478"/>
      <c r="F478" s="1775"/>
      <c r="H478"/>
      <c r="I478"/>
      <c r="AJ478" t="str">
        <f>'Cpts préjudiciables parents'!B17</f>
        <v>Chantage affectif, manipulation</v>
      </c>
      <c r="AK478" t="str">
        <f>'Cpts préjudiciables parents'!C17</f>
        <v>Questionne l'enfant à son retour de garde</v>
      </c>
      <c r="AL478" s="90">
        <f>'Cpts préjudiciables parents'!G17</f>
        <v>14</v>
      </c>
      <c r="AM478" s="55" t="str">
        <f>'Cpts préjudiciables parents'!H17</f>
        <v>à inclure</v>
      </c>
      <c r="AN478" t="str">
        <v>Questionne l'enfant à son retour de garde</v>
      </c>
      <c r="AO478">
        <v>14</v>
      </c>
      <c r="AP478" s="90" t="str">
        <f t="shared" ref="AP478:AP482" si="13">IF(AO478="","",IF(OR(AO478&gt;$AL$483,AO478&gt;20),"à inclure",""))</f>
        <v>à inclure</v>
      </c>
    </row>
    <row r="479" spans="1:42" x14ac:dyDescent="0.2">
      <c r="G479" s="1694"/>
      <c r="AJ479" t="str">
        <f>'Cpts préjudiciables parents'!B18</f>
        <v>Chantage affectif, manipulation</v>
      </c>
      <c r="AK479" t="str">
        <f>'Cpts préjudiciables parents'!C18</f>
        <v>Culpabilise l'enfant de son amour pour l'autre parent</v>
      </c>
      <c r="AL479" s="90">
        <f>'Cpts préjudiciables parents'!G18</f>
        <v>7</v>
      </c>
      <c r="AM479" s="55" t="str">
        <f>'Cpts préjudiciables parents'!H18</f>
        <v/>
      </c>
      <c r="AN479" t="str">
        <v>Ne salue pas l'autre arent lorsqu'il ou elle le croise</v>
      </c>
      <c r="AO479">
        <v>8</v>
      </c>
      <c r="AP479" s="90" t="str">
        <f t="shared" si="13"/>
        <v>à inclure</v>
      </c>
    </row>
    <row r="480" spans="1:42" x14ac:dyDescent="0.2">
      <c r="C480" s="5"/>
      <c r="D480" s="1765"/>
      <c r="AJ480" t="str">
        <f>'Cpts préjudiciables parents'!B19</f>
        <v>Chantage affectif, manipulation</v>
      </c>
      <c r="AK480" t="str">
        <f>'Cpts préjudiciables parents'!C19</f>
        <v>Boude l'enfant lorsqu'il quitte pour aller chez l'autre parent</v>
      </c>
      <c r="AL480" s="90">
        <f>'Cpts préjudiciables parents'!G19</f>
        <v>4</v>
      </c>
      <c r="AM480" s="55" t="str">
        <f>'Cpts préjudiciables parents'!H19</f>
        <v/>
      </c>
      <c r="AN480" t="str">
        <v>Culpabilise l'enfant de son amour pour l'autre parent</v>
      </c>
      <c r="AO480">
        <v>7</v>
      </c>
      <c r="AP480" s="90" t="str">
        <f t="shared" si="13"/>
        <v/>
      </c>
    </row>
    <row r="481" spans="3:42" x14ac:dyDescent="0.2">
      <c r="C481" s="2166"/>
      <c r="D481" s="1766"/>
      <c r="E481" s="1766"/>
      <c r="AJ481" t="str">
        <f>'Cpts préjudiciables parents'!B20</f>
        <v>Chantage affectif, manipulation</v>
      </c>
      <c r="AK481" t="str">
        <f>'Cpts préjudiciables parents'!C20</f>
        <v>Se fâche si l'enfant exprime de l'amour pour l'autre parent</v>
      </c>
      <c r="AL481" s="90">
        <f>'Cpts préjudiciables parents'!G20</f>
        <v>6</v>
      </c>
      <c r="AM481" s="55" t="str">
        <f>'Cpts préjudiciables parents'!H20</f>
        <v/>
      </c>
      <c r="AN481" t="str">
        <v>Se fâche si l'enfant exprime de l'amour pour l'autre parent</v>
      </c>
      <c r="AO481">
        <v>6</v>
      </c>
      <c r="AP481" s="90" t="str">
        <f t="shared" si="13"/>
        <v/>
      </c>
    </row>
    <row r="482" spans="3:42" ht="34" x14ac:dyDescent="0.2">
      <c r="C482" s="1766" t="s">
        <v>2208</v>
      </c>
      <c r="D482" s="1766"/>
      <c r="E482" s="1766"/>
      <c r="AJ482" t="str">
        <f>'Cpts préjudiciables parents'!B21</f>
        <v>Chantage affectif, manipulation</v>
      </c>
      <c r="AK482" t="str">
        <f>'Cpts préjudiciables parents'!C21</f>
        <v>Demande à l'enfant à choisir avec qui il veut vivre</v>
      </c>
      <c r="AL482" s="90" t="str">
        <f>'Cpts préjudiciables parents'!G21</f>
        <v/>
      </c>
      <c r="AM482" s="55" t="str">
        <f>'Cpts préjudiciables parents'!H21</f>
        <v/>
      </c>
      <c r="AN482" t="str">
        <v>Boude l'enfant lorsqu'il quitte pour aller chez l'autre parent</v>
      </c>
      <c r="AO482">
        <v>4</v>
      </c>
      <c r="AP482" s="90" t="str">
        <f t="shared" si="13"/>
        <v/>
      </c>
    </row>
    <row r="483" spans="3:42" ht="21" x14ac:dyDescent="0.25">
      <c r="C483" s="1697" t="s">
        <v>681</v>
      </c>
      <c r="D483" s="2376" t="s">
        <v>1572</v>
      </c>
      <c r="E483" s="4"/>
      <c r="F483" s="5"/>
      <c r="H483"/>
      <c r="I483"/>
      <c r="N483" t="s">
        <v>2107</v>
      </c>
      <c r="T483" s="2536"/>
      <c r="U483" s="2536"/>
      <c r="V483" s="2536"/>
      <c r="W483" s="2536"/>
      <c r="X483" s="2536"/>
      <c r="Y483" s="1942"/>
      <c r="AL483" s="2297">
        <f>'Cpts préjudiciables parents'!G22</f>
        <v>7.8</v>
      </c>
      <c r="AM483" s="55"/>
    </row>
    <row r="484" spans="3:42" ht="21" x14ac:dyDescent="0.25">
      <c r="C484" s="2295"/>
      <c r="E484" s="1757"/>
      <c r="F484" s="5"/>
      <c r="H484"/>
      <c r="I484"/>
      <c r="T484" s="1942"/>
      <c r="U484" s="1942"/>
      <c r="V484" s="1942"/>
      <c r="W484" s="1942"/>
      <c r="X484" s="1942"/>
      <c r="Y484" s="1942"/>
      <c r="AJ484" t="str">
        <f>'Cpts préjudiciables parents'!B23</f>
        <v>Dénigrement</v>
      </c>
      <c r="AK484" t="str">
        <f>'Cpts préjudiciables parents'!C23</f>
        <v>Fait des reproches à l'autre parent devant l'enfant</v>
      </c>
      <c r="AL484" s="90">
        <f>'Cpts préjudiciables parents'!G23</f>
        <v>6</v>
      </c>
      <c r="AM484" s="55" t="str">
        <f>'Cpts préjudiciables parents'!H23</f>
        <v>à inclure</v>
      </c>
      <c r="AN484" t="str" cm="1">
        <f t="array" ref="AN484:AO487">_xlfn.SORTBY(AK484:AL487,AL484:AL487,-1)</f>
        <v>Dénigre la nouvelle famille</v>
      </c>
      <c r="AO484" t="str">
        <v/>
      </c>
      <c r="AP484" s="90" t="str">
        <f>IF(AO484="","",IF(OR(AO484&gt;$AL$488,AO484&gt;20),"à inclure",""))</f>
        <v/>
      </c>
    </row>
    <row r="485" spans="3:42" x14ac:dyDescent="0.2">
      <c r="C485" s="2541" t="str">
        <f>'Cpts préjudiciables parents'!B9</f>
        <v>Altération ou dévoiement de la réalité</v>
      </c>
      <c r="D485" s="291"/>
      <c r="E485" s="2"/>
      <c r="F485" s="5"/>
      <c r="H485"/>
      <c r="I485"/>
      <c r="N485" s="55" t="str">
        <f>'Cpts préjudiciables parents'!R19</f>
        <v>Altération ou dévoiement de la réalité</v>
      </c>
      <c r="O485" s="55">
        <f>'Cpts préjudiciables parents'!S19</f>
        <v>14</v>
      </c>
      <c r="AJ485" t="str">
        <f>'Cpts préjudiciables parents'!B24</f>
        <v>Dénigrement</v>
      </c>
      <c r="AK485" t="str">
        <f>'Cpts préjudiciables parents'!C24</f>
        <v>Dénigre la nouvelle famille</v>
      </c>
      <c r="AL485" s="90" t="str">
        <f>'Cpts préjudiciables parents'!G24</f>
        <v/>
      </c>
      <c r="AM485" s="55" t="str">
        <f>'Cpts préjudiciables parents'!H24</f>
        <v/>
      </c>
      <c r="AN485" t="str">
        <v>Demande qu'on appelle le nouveau ou nvlle conjoint·e "maman" ou "papa"</v>
      </c>
      <c r="AO485" t="str">
        <v/>
      </c>
      <c r="AP485" s="90" t="str">
        <f t="shared" ref="AP485:AP487" si="14">IF(AO485="","",IF(OR(AO485&gt;$AL$488,AO485&gt;20),"à inclure",""))</f>
        <v/>
      </c>
    </row>
    <row r="486" spans="3:42" x14ac:dyDescent="0.2">
      <c r="C486" s="2541"/>
      <c r="D486" s="1771" t="str">
        <f>IF(AP470="à inclure",AN470,"")</f>
        <v>Déforme les souvenirs de l'enfant</v>
      </c>
      <c r="E486" s="2"/>
      <c r="F486" s="5"/>
      <c r="H486"/>
      <c r="I486"/>
      <c r="N486" s="55" t="str">
        <f>'Cpts préjudiciables parents'!R20</f>
        <v>Chantage affectif, manipulation</v>
      </c>
      <c r="O486" s="55">
        <f>'Cpts préjudiciables parents'!S20</f>
        <v>7.8</v>
      </c>
      <c r="AJ486" t="str">
        <f>'Cpts préjudiciables parents'!B25</f>
        <v>Dénigrement</v>
      </c>
      <c r="AK486" t="str">
        <f>'Cpts préjudiciables parents'!C25</f>
        <v>Présente la nouvelle famille comme étant la "vraie" famille</v>
      </c>
      <c r="AL486" s="90">
        <f>'Cpts préjudiciables parents'!G25</f>
        <v>4</v>
      </c>
      <c r="AM486" s="55" t="str">
        <f>'Cpts préjudiciables parents'!H25</f>
        <v/>
      </c>
      <c r="AN486" t="str">
        <v>Fait des reproches à l'autre parent devant l'enfant</v>
      </c>
      <c r="AO486">
        <v>6</v>
      </c>
      <c r="AP486" s="90" t="str">
        <f t="shared" si="14"/>
        <v>à inclure</v>
      </c>
    </row>
    <row r="487" spans="3:42" x14ac:dyDescent="0.2">
      <c r="C487" s="2541"/>
      <c r="D487" s="1771" t="str">
        <f t="shared" ref="D487:D488" si="15">IF(AP471="à inclure",AN471,"")</f>
        <v>Laisse entendre à une instabilité psychologique chez l'autre parent</v>
      </c>
      <c r="E487" s="1757"/>
      <c r="F487" s="1729"/>
      <c r="H487"/>
      <c r="I487"/>
      <c r="N487" s="55" t="str">
        <f>'Cpts préjudiciables parents'!R21</f>
        <v>Dénigrement</v>
      </c>
      <c r="O487" s="55">
        <f>'Cpts préjudiciables parents'!S21</f>
        <v>5</v>
      </c>
      <c r="AJ487" t="str">
        <f>'Cpts préjudiciables parents'!B26</f>
        <v>Dénigrement</v>
      </c>
      <c r="AK487" t="str">
        <f>'Cpts préjudiciables parents'!C26</f>
        <v>Demande qu'on appelle le nouveau ou nvlle conjoint·e "maman" ou "papa"</v>
      </c>
      <c r="AL487" s="90" t="str">
        <f>'Cpts préjudiciables parents'!G26</f>
        <v/>
      </c>
      <c r="AM487" s="55" t="str">
        <f>'Cpts préjudiciables parents'!H26</f>
        <v/>
      </c>
      <c r="AN487" t="str">
        <v>Présente la nouvelle famille comme étant la "vraie" famille</v>
      </c>
      <c r="AO487">
        <v>4</v>
      </c>
      <c r="AP487" s="90" t="str">
        <f t="shared" si="14"/>
        <v/>
      </c>
    </row>
    <row r="488" spans="3:42" x14ac:dyDescent="0.2">
      <c r="C488" s="2295"/>
      <c r="D488" s="1771" t="str">
        <f t="shared" si="15"/>
        <v/>
      </c>
      <c r="E488" s="90"/>
      <c r="H488"/>
      <c r="I488"/>
      <c r="N488" s="55" t="str">
        <f>'Cpts préjudiciables parents'!R22</f>
        <v>Interférence temps et/ou communication</v>
      </c>
      <c r="O488" s="55">
        <f>'Cpts préjudiciables parents'!S22</f>
        <v>15</v>
      </c>
      <c r="AL488" s="2297">
        <f>'Cpts préjudiciables parents'!G27</f>
        <v>5</v>
      </c>
      <c r="AM488" s="55"/>
    </row>
    <row r="489" spans="3:42" x14ac:dyDescent="0.2">
      <c r="C489" s="2542" t="str">
        <f>'Cpts préjudiciables parents'!B16</f>
        <v>Chantage affectif, manipulation</v>
      </c>
      <c r="D489" s="2377"/>
      <c r="F489" s="5"/>
      <c r="H489"/>
      <c r="I489"/>
      <c r="M489" s="13"/>
      <c r="N489" s="55" t="str">
        <f>'Cpts préjudiciables parents'!R23</f>
        <v>Interférence lien affectif ou symbolique</v>
      </c>
      <c r="O489" s="55">
        <f>'Cpts préjudiciables parents'!S23</f>
        <v>12.75</v>
      </c>
      <c r="P489" s="13"/>
      <c r="AJ489" t="str">
        <f>'Cpts préjudiciables parents'!B28</f>
        <v>Interférence temps et/ou communication</v>
      </c>
      <c r="AK489" t="str">
        <f>'Cpts préjudiciables parents'!C28</f>
        <v>Communique fréquemment avec l'enfant lorsqu'il est chez l'autre</v>
      </c>
      <c r="AL489" s="90">
        <f>'Cpts préjudiciables parents'!G28</f>
        <v>33</v>
      </c>
      <c r="AM489" s="55" t="str">
        <f>'Cpts préjudiciables parents'!H28</f>
        <v>à inclure</v>
      </c>
      <c r="AN489" t="str" cm="1">
        <f t="array" ref="AN489:AO497">_xlfn.SORTBY(AK489:AL497,AL489:AL497,-1)</f>
        <v>Communique fréquemment avec l'enfant lorsqu'il est chez l'autre</v>
      </c>
      <c r="AO489">
        <v>33</v>
      </c>
      <c r="AP489" s="90" t="str">
        <f>IF(AO489="","",IF(OR(AO489&gt;$AL$498,AO489&gt;20),"à inclure",""))</f>
        <v>à inclure</v>
      </c>
    </row>
    <row r="490" spans="3:42" x14ac:dyDescent="0.2">
      <c r="C490" s="2543"/>
      <c r="D490" s="1771" t="str">
        <f>IF(AP477="à inclure",AN477,"")</f>
        <v/>
      </c>
      <c r="E490" s="1757"/>
      <c r="F490" s="5"/>
      <c r="H490"/>
      <c r="I490"/>
      <c r="M490" s="13"/>
      <c r="N490" s="55" t="str">
        <f>'Cpts préjudiciables parents'!R24</f>
        <v>Parentification</v>
      </c>
      <c r="O490" s="55">
        <f>'Cpts préjudiciables parents'!S24</f>
        <v>12</v>
      </c>
      <c r="P490" s="13"/>
      <c r="AJ490" t="str">
        <f>'Cpts préjudiciables parents'!B29</f>
        <v>Interférence temps et/ou communication</v>
      </c>
      <c r="AK490" t="str">
        <f>'Cpts préjudiciables parents'!C29</f>
        <v>Donne à l'enfant la responsabilité de choisir</v>
      </c>
      <c r="AL490" s="90">
        <f>'Cpts préjudiciables parents'!G29</f>
        <v>6</v>
      </c>
      <c r="AM490" s="55" t="str">
        <f>'Cpts préjudiciables parents'!H29</f>
        <v/>
      </c>
      <c r="AN490" t="str">
        <v>Organisme des activités irrésistibles lors du temps de garde de l'autre</v>
      </c>
      <c r="AO490">
        <v>21</v>
      </c>
      <c r="AP490" s="90" t="str">
        <f t="shared" ref="AP490:AP497" si="16">IF(AO490="","",IF(OR(AO490&gt;$AL$498,AO490&gt;20),"à inclure",""))</f>
        <v>à inclure</v>
      </c>
    </row>
    <row r="491" spans="3:42" x14ac:dyDescent="0.2">
      <c r="C491" s="2543"/>
      <c r="D491" s="1771" t="str">
        <f t="shared" ref="D491:D492" si="17">IF(AP478="à inclure",AN478,"")</f>
        <v>Questionne l'enfant à son retour de garde</v>
      </c>
      <c r="F491" s="5"/>
      <c r="H491"/>
      <c r="I491"/>
      <c r="N491" s="55" t="str">
        <f>'Cpts préjudiciables parents'!R25</f>
        <v>Rôle actif de l'enfant</v>
      </c>
      <c r="O491" s="55">
        <f>'Cpts préjudiciables parents'!S25</f>
        <v>25</v>
      </c>
      <c r="AJ491" t="str">
        <f>'Cpts préjudiciables parents'!B30</f>
        <v>Interférence temps et/ou communication</v>
      </c>
      <c r="AK491" t="str">
        <f>'Cpts préjudiciables parents'!C30</f>
        <v>Change les horaires sans consulter l'autre parent</v>
      </c>
      <c r="AL491" s="90">
        <f>'Cpts préjudiciables parents'!G30</f>
        <v>14</v>
      </c>
      <c r="AM491" s="55" t="str">
        <f>'Cpts préjudiciables parents'!H30</f>
        <v/>
      </c>
      <c r="AN491" t="str">
        <v>Bloque les communications de l'entourage de l'enfant à l'autre parent</v>
      </c>
      <c r="AO491">
        <v>21</v>
      </c>
      <c r="AP491" s="90" t="str">
        <f t="shared" si="16"/>
        <v>à inclure</v>
      </c>
    </row>
    <row r="492" spans="3:42" x14ac:dyDescent="0.2">
      <c r="C492" s="2543"/>
      <c r="D492" s="1771" t="str">
        <f t="shared" si="17"/>
        <v>Ne salue pas l'autre arent lorsqu'il ou elle le croise</v>
      </c>
      <c r="F492" s="5"/>
      <c r="H492"/>
      <c r="I492"/>
      <c r="AJ492" t="str">
        <f>'Cpts préjudiciables parents'!B31</f>
        <v>Interférence temps et/ou communication</v>
      </c>
      <c r="AK492" t="str">
        <f>'Cpts préjudiciables parents'!C31</f>
        <v>Ne respecte pas l'heure des changements de garde</v>
      </c>
      <c r="AL492" s="90">
        <f>'Cpts préjudiciables parents'!G31</f>
        <v>8</v>
      </c>
      <c r="AM492" s="55" t="str">
        <f>'Cpts préjudiciables parents'!H31</f>
        <v/>
      </c>
      <c r="AN492" t="str">
        <v>Change les horaires sans consulter l'autre parent</v>
      </c>
      <c r="AO492">
        <v>14</v>
      </c>
      <c r="AP492" s="90" t="str">
        <f t="shared" si="16"/>
        <v/>
      </c>
    </row>
    <row r="493" spans="3:42" x14ac:dyDescent="0.2">
      <c r="C493" s="2544" t="str">
        <f>'Cpts préjudiciables parents'!B23</f>
        <v>Dénigrement</v>
      </c>
      <c r="D493" s="2378"/>
      <c r="E493" s="1757"/>
      <c r="F493" s="5"/>
      <c r="H493"/>
      <c r="I493"/>
      <c r="AJ493" t="str">
        <f>'Cpts préjudiciables parents'!B32</f>
        <v>Interférence temps et/ou communication</v>
      </c>
      <c r="AK493" t="str">
        <f>'Cpts préjudiciables parents'!C32</f>
        <v>Propose des activités sur le temps de garde de l'autre</v>
      </c>
      <c r="AL493" s="90">
        <f>'Cpts préjudiciables parents'!G32</f>
        <v>14</v>
      </c>
      <c r="AM493" s="55" t="str">
        <f>'Cpts préjudiciables parents'!H32</f>
        <v/>
      </c>
      <c r="AN493" t="str">
        <v>Propose des activités sur le temps de garde de l'autre</v>
      </c>
      <c r="AO493">
        <v>14</v>
      </c>
      <c r="AP493" s="90" t="str">
        <f t="shared" si="16"/>
        <v/>
      </c>
    </row>
    <row r="494" spans="3:42" x14ac:dyDescent="0.2">
      <c r="C494" s="2545"/>
      <c r="D494" s="1771" t="str">
        <f>IF(AP484="à inclure",AN484,"")</f>
        <v/>
      </c>
      <c r="F494" s="5"/>
      <c r="H494"/>
      <c r="I494"/>
      <c r="AJ494" t="str">
        <f>'Cpts préjudiciables parents'!B33</f>
        <v>Interférence temps et/ou communication</v>
      </c>
      <c r="AK494" t="str">
        <f>'Cpts préjudiciables parents'!C33</f>
        <v>Organisme des activités irrésistibles lors du temps de garde de l'autre</v>
      </c>
      <c r="AL494" s="90">
        <f>'Cpts préjudiciables parents'!G33</f>
        <v>21</v>
      </c>
      <c r="AM494" s="55" t="str">
        <f>'Cpts préjudiciables parents'!H33</f>
        <v>à inclure</v>
      </c>
      <c r="AN494" t="str">
        <v xml:space="preserve">Contrôle les conversations téléphoniques </v>
      </c>
      <c r="AO494">
        <v>14</v>
      </c>
      <c r="AP494" s="90" t="str">
        <f t="shared" si="16"/>
        <v/>
      </c>
    </row>
    <row r="495" spans="3:42" x14ac:dyDescent="0.2">
      <c r="C495" s="2545"/>
      <c r="D495" s="1771" t="str">
        <f t="shared" ref="D495:D496" si="18">IF(AP485="à inclure",AN485,"")</f>
        <v/>
      </c>
      <c r="E495" s="2"/>
      <c r="F495" s="5"/>
      <c r="H495"/>
      <c r="I495"/>
      <c r="AJ495" t="str">
        <f>'Cpts préjudiciables parents'!B34</f>
        <v>Interférence temps et/ou communication</v>
      </c>
      <c r="AK495" t="str">
        <f>'Cpts préjudiciables parents'!C34</f>
        <v>Se présente à la sortie des classes sur le temps de garde de l'autre</v>
      </c>
      <c r="AL495" s="90">
        <f>'Cpts préjudiciables parents'!G34</f>
        <v>4</v>
      </c>
      <c r="AM495" s="55" t="str">
        <f>'Cpts préjudiciables parents'!H34</f>
        <v/>
      </c>
      <c r="AN495" t="str">
        <v>Ne respecte pas l'heure des changements de garde</v>
      </c>
      <c r="AO495">
        <v>8</v>
      </c>
      <c r="AP495" s="90" t="str">
        <f t="shared" si="16"/>
        <v/>
      </c>
    </row>
    <row r="496" spans="3:42" x14ac:dyDescent="0.2">
      <c r="C496" s="2545"/>
      <c r="D496" s="1771" t="str">
        <f t="shared" si="18"/>
        <v>Fait des reproches à l'autre parent devant l'enfant</v>
      </c>
      <c r="E496" s="1757"/>
      <c r="F496" s="5"/>
      <c r="H496"/>
      <c r="I496"/>
      <c r="AJ496" t="str">
        <f>'Cpts préjudiciables parents'!B35</f>
        <v>Interférence temps et/ou communication</v>
      </c>
      <c r="AK496" t="str">
        <f>'Cpts préjudiciables parents'!C35</f>
        <v>Bloque les communications de l'entourage de l'enfant à l'autre parent</v>
      </c>
      <c r="AL496" s="90">
        <f>'Cpts préjudiciables parents'!G35</f>
        <v>21</v>
      </c>
      <c r="AM496" s="55" t="str">
        <f>'Cpts préjudiciables parents'!H35</f>
        <v>à inclure</v>
      </c>
      <c r="AN496" t="str">
        <v>Donne à l'enfant la responsabilité de choisir</v>
      </c>
      <c r="AO496">
        <v>6</v>
      </c>
      <c r="AP496" s="90" t="str">
        <f t="shared" si="16"/>
        <v/>
      </c>
    </row>
    <row r="497" spans="3:42" x14ac:dyDescent="0.2">
      <c r="C497" s="2546" t="str">
        <f>'Cpts préjudiciables parents'!B28</f>
        <v>Interférence temps et/ou communication</v>
      </c>
      <c r="D497" s="2378"/>
      <c r="F497" s="5"/>
      <c r="H497"/>
      <c r="I497"/>
      <c r="AJ497" t="str">
        <f>'Cpts préjudiciables parents'!B36</f>
        <v>Interférence temps et/ou communication</v>
      </c>
      <c r="AK497" t="str">
        <f>'Cpts préjudiciables parents'!C36</f>
        <v xml:space="preserve">Contrôle les conversations téléphoniques </v>
      </c>
      <c r="AL497" s="90">
        <f>'Cpts préjudiciables parents'!G36</f>
        <v>14</v>
      </c>
      <c r="AM497" s="55" t="str">
        <f>'Cpts préjudiciables parents'!H36</f>
        <v/>
      </c>
      <c r="AN497" t="str">
        <v>Se présente à la sortie des classes sur le temps de garde de l'autre</v>
      </c>
      <c r="AO497">
        <v>4</v>
      </c>
      <c r="AP497" s="90" t="str">
        <f t="shared" si="16"/>
        <v/>
      </c>
    </row>
    <row r="498" spans="3:42" x14ac:dyDescent="0.2">
      <c r="C498" s="2547"/>
      <c r="D498" s="1771" t="str">
        <f>IF(AP489="à inclure",AN489,"")</f>
        <v>Communique fréquemment avec l'enfant lorsqu'il est chez l'autre</v>
      </c>
      <c r="F498" s="5"/>
      <c r="H498"/>
      <c r="I498"/>
      <c r="AL498" s="2297">
        <f>'Cpts préjudiciables parents'!G37</f>
        <v>15</v>
      </c>
      <c r="AM498" s="55"/>
    </row>
    <row r="499" spans="3:42" x14ac:dyDescent="0.2">
      <c r="C499" s="2547"/>
      <c r="D499" s="1771" t="str">
        <f t="shared" ref="D499:D500" si="19">IF(AP490="à inclure",AN490,"")</f>
        <v>Organisme des activités irrésistibles lors du temps de garde de l'autre</v>
      </c>
      <c r="E499" s="1757"/>
      <c r="F499" s="5"/>
      <c r="H499"/>
      <c r="I499"/>
      <c r="AJ499" t="str">
        <f>'Cpts préjudiciables parents'!B38</f>
        <v>Interférence lien affectif ou symbolique</v>
      </c>
      <c r="AK499" t="str">
        <f>'Cpts préjudiciables parents'!C38</f>
        <v>Est en compétition avec l'autre parent pour l'amour de l'enfant</v>
      </c>
      <c r="AL499" s="90">
        <f>'Cpts préjudiciables parents'!G38</f>
        <v>14</v>
      </c>
      <c r="AM499" s="55" t="str">
        <f>'Cpts préjudiciables parents'!H38</f>
        <v>à inclure</v>
      </c>
      <c r="AN499" t="str" cm="1">
        <f t="array" ref="AN499:AO503">_xlfn.SORTBY(AK499:AL503,AL499:AL503,-1)</f>
        <v xml:space="preserve">Limite les contacts de l'enfant avec la famille élargie de l'autre parent </v>
      </c>
      <c r="AO499" t="str">
        <v/>
      </c>
      <c r="AP499" s="90" t="str">
        <f>IF(AO499="","",IF(OR(AO499&gt;$AL$504,AO499&gt;20),"à inclure",""))</f>
        <v/>
      </c>
    </row>
    <row r="500" spans="3:42" x14ac:dyDescent="0.2">
      <c r="C500" s="2547"/>
      <c r="D500" s="1771" t="str">
        <f t="shared" si="19"/>
        <v>Bloque les communications de l'entourage de l'enfant à l'autre parent</v>
      </c>
      <c r="F500" s="5"/>
      <c r="H500"/>
      <c r="I500"/>
      <c r="AJ500" t="str">
        <f>'Cpts préjudiciables parents'!B39</f>
        <v>Interférence lien affectif ou symbolique</v>
      </c>
      <c r="AK500" t="str">
        <f>'Cpts préjudiciables parents'!C39</f>
        <v xml:space="preserve">Limite les contacts de l'enfant avec la famille élargie de l'autre parent </v>
      </c>
      <c r="AL500" s="90" t="str">
        <f>'Cpts préjudiciables parents'!G39</f>
        <v/>
      </c>
      <c r="AM500" s="55" t="str">
        <f>'Cpts préjudiciables parents'!H39</f>
        <v/>
      </c>
      <c r="AN500" t="str">
        <v>Incite l'enfant à choisir un des deux parents</v>
      </c>
      <c r="AO500">
        <v>21</v>
      </c>
      <c r="AP500" s="90" t="str">
        <f t="shared" ref="AP500:AP503" si="20">IF(AO500="","",IF(OR(AO500&gt;$AL$504,AO500&gt;20),"à inclure",""))</f>
        <v>à inclure</v>
      </c>
    </row>
    <row r="501" spans="3:42" x14ac:dyDescent="0.2">
      <c r="C501" s="2548" t="str">
        <f>'Cpts préjudiciables parents'!B38</f>
        <v>Interférence lien affectif ou symbolique</v>
      </c>
      <c r="D501" s="2378"/>
      <c r="F501" s="5"/>
      <c r="H501"/>
      <c r="I501"/>
      <c r="AJ501" t="str">
        <f>'Cpts préjudiciables parents'!B40</f>
        <v>Interférence lien affectif ou symbolique</v>
      </c>
      <c r="AK501" t="str">
        <f>'Cpts préjudiciables parents'!C40</f>
        <v>Jette les objets qui représentent l'autre</v>
      </c>
      <c r="AL501" s="90">
        <f>'Cpts préjudiciables parents'!G40</f>
        <v>12</v>
      </c>
      <c r="AM501" s="55" t="str">
        <f>'Cpts préjudiciables parents'!H40</f>
        <v/>
      </c>
      <c r="AN501" t="str">
        <v>Est en compétition avec l'autre parent pour l'amour de l'enfant</v>
      </c>
      <c r="AO501">
        <v>14</v>
      </c>
      <c r="AP501" s="90" t="str">
        <f t="shared" si="20"/>
        <v>à inclure</v>
      </c>
    </row>
    <row r="502" spans="3:42" x14ac:dyDescent="0.2">
      <c r="C502" s="2549"/>
      <c r="D502" s="1771" t="str">
        <f>IF(AP499="à inclure",AN499,"")</f>
        <v/>
      </c>
      <c r="E502" s="1757"/>
      <c r="F502" s="5"/>
      <c r="H502"/>
      <c r="I502"/>
      <c r="AJ502" t="str">
        <f>'Cpts préjudiciables parents'!B41</f>
        <v>Interférence lien affectif ou symbolique</v>
      </c>
      <c r="AK502" t="str">
        <f>'Cpts préjudiciables parents'!C41</f>
        <v>Incite l'enfant à choisir un des deux parents</v>
      </c>
      <c r="AL502" s="90">
        <f>'Cpts préjudiciables parents'!G41</f>
        <v>21</v>
      </c>
      <c r="AM502" s="55" t="str">
        <f>'Cpts préjudiciables parents'!H41</f>
        <v>à inclure</v>
      </c>
      <c r="AN502" t="str">
        <v>Jette les objets qui représentent l'autre</v>
      </c>
      <c r="AO502">
        <v>12</v>
      </c>
      <c r="AP502" s="90" t="str">
        <f t="shared" si="20"/>
        <v/>
      </c>
    </row>
    <row r="503" spans="3:42" x14ac:dyDescent="0.2">
      <c r="C503" s="2549"/>
      <c r="D503" s="1771" t="str">
        <f t="shared" ref="D503:D504" si="21">IF(AP500="à inclure",AN500,"")</f>
        <v>Incite l'enfant à choisir un des deux parents</v>
      </c>
      <c r="E503" s="2"/>
      <c r="F503" s="5"/>
      <c r="H503"/>
      <c r="I503"/>
      <c r="AJ503" t="str">
        <f>'Cpts préjudiciables parents'!B42</f>
        <v>Interférence lien affectif ou symbolique</v>
      </c>
      <c r="AK503" t="str">
        <f>'Cpts préjudiciables parents'!C42</f>
        <v>Le nouveau ou la nouvelle conjoint·e demande de se faire appeler maman ou papa</v>
      </c>
      <c r="AL503" s="90">
        <f>'Cpts préjudiciables parents'!G42</f>
        <v>4</v>
      </c>
      <c r="AM503" s="55" t="str">
        <f>'Cpts préjudiciables parents'!H42</f>
        <v/>
      </c>
      <c r="AN503" t="str">
        <v>Le nouveau ou la nouvelle conjoint·e demande de se faire appeler maman ou papa</v>
      </c>
      <c r="AO503">
        <v>4</v>
      </c>
      <c r="AP503" s="90" t="str">
        <f t="shared" si="20"/>
        <v/>
      </c>
    </row>
    <row r="504" spans="3:42" x14ac:dyDescent="0.2">
      <c r="C504" s="2549"/>
      <c r="D504" s="1771" t="str">
        <f t="shared" si="21"/>
        <v>Est en compétition avec l'autre parent pour l'amour de l'enfant</v>
      </c>
      <c r="E504" s="2"/>
      <c r="F504" s="5"/>
      <c r="H504"/>
      <c r="I504"/>
      <c r="AL504" s="2297">
        <f>'Cpts préjudiciables parents'!G43</f>
        <v>12.75</v>
      </c>
      <c r="AM504" s="55"/>
    </row>
    <row r="505" spans="3:42" x14ac:dyDescent="0.2">
      <c r="C505" s="2379" t="str">
        <f>'Cpts préjudiciables parents'!$B$44</f>
        <v>Parentification</v>
      </c>
      <c r="D505" s="2378"/>
      <c r="E505" s="2"/>
      <c r="F505" s="5"/>
      <c r="H505"/>
      <c r="I505"/>
      <c r="AJ505" t="str">
        <f>'Cpts préjudiciables parents'!B44</f>
        <v>Parentification</v>
      </c>
      <c r="AK505" t="str">
        <f>'Cpts préjudiciables parents'!C44</f>
        <v>Informe l'enfant des enjeux l'opposant à l'autre parent</v>
      </c>
      <c r="AL505" s="90">
        <f>'Cpts préjudiciables parents'!G44</f>
        <v>12</v>
      </c>
      <c r="AM505" s="55" t="str">
        <f>'Cpts préjudiciables parents'!H44</f>
        <v/>
      </c>
      <c r="AN505" t="str" cm="1">
        <f t="array" ref="AN505:AO508">_xlfn.SORTBY(AK505:AL508,AL505:AL508,-1)</f>
        <v>Confie à l'enfant ses peines</v>
      </c>
      <c r="AO505">
        <v>16</v>
      </c>
      <c r="AP505" s="90" t="str">
        <f>IF(AO505="","",IF(OR(AO505&gt;$AL$509,AO505&gt;20),"à inclure",""))</f>
        <v>à inclure</v>
      </c>
    </row>
    <row r="506" spans="3:42" x14ac:dyDescent="0.2">
      <c r="C506" s="2380"/>
      <c r="D506" s="1771" t="str">
        <f>IF(AP505="à inclure",AN505,"")</f>
        <v>Confie à l'enfant ses peines</v>
      </c>
      <c r="E506" s="2"/>
      <c r="F506" s="5"/>
      <c r="H506"/>
      <c r="I506"/>
      <c r="AJ506" t="str">
        <f>'Cpts préjudiciables parents'!B45</f>
        <v>Parentification</v>
      </c>
      <c r="AK506" t="str">
        <f>'Cpts préjudiciables parents'!C45</f>
        <v>Confie à l'enfant ses peines</v>
      </c>
      <c r="AL506" s="90">
        <f>'Cpts préjudiciables parents'!G45</f>
        <v>16</v>
      </c>
      <c r="AM506" s="55" t="str">
        <f>'Cpts préjudiciables parents'!H45</f>
        <v>à inclure</v>
      </c>
      <c r="AN506" t="str">
        <v>Informe l'enfant des enjeux l'opposant à l'autre parent</v>
      </c>
      <c r="AO506">
        <v>12</v>
      </c>
      <c r="AP506" s="90" t="str">
        <f t="shared" ref="AP506:AP508" si="22">IF(AO506="","",IF(OR(AO506&gt;$AL$509,AO506&gt;20),"à inclure",""))</f>
        <v/>
      </c>
    </row>
    <row r="507" spans="3:42" x14ac:dyDescent="0.2">
      <c r="C507" s="2381"/>
      <c r="D507" s="1771" t="str">
        <f t="shared" ref="D507:D508" si="23">IF(AP506="à inclure",AN506,"")</f>
        <v/>
      </c>
      <c r="E507" s="2"/>
      <c r="F507" s="5"/>
      <c r="H507"/>
      <c r="I507"/>
      <c r="AJ507" t="str">
        <f>'Cpts préjudiciables parents'!B46</f>
        <v>Parentification</v>
      </c>
      <c r="AK507" t="str">
        <f>'Cpts préjudiciables parents'!C46</f>
        <v>Confie à l'enfant des informations délicates sur l'autre</v>
      </c>
      <c r="AL507" s="90">
        <f>'Cpts préjudiciables parents'!G46</f>
        <v>8</v>
      </c>
      <c r="AM507" s="55" t="str">
        <f>'Cpts préjudiciables parents'!H46</f>
        <v/>
      </c>
      <c r="AN507" t="str">
        <v>Fait lire à l'enfant des communications de l'autre parent</v>
      </c>
      <c r="AO507">
        <v>12</v>
      </c>
      <c r="AP507" s="90" t="str">
        <f t="shared" si="22"/>
        <v/>
      </c>
    </row>
    <row r="508" spans="3:42" x14ac:dyDescent="0.2">
      <c r="C508" s="2375"/>
      <c r="D508" s="1771" t="str">
        <f t="shared" si="23"/>
        <v/>
      </c>
      <c r="E508" s="2"/>
      <c r="F508" s="5"/>
      <c r="H508"/>
      <c r="I508"/>
      <c r="AJ508" t="str">
        <f>'Cpts préjudiciables parents'!B47</f>
        <v>Parentification</v>
      </c>
      <c r="AK508" t="str">
        <f>'Cpts préjudiciables parents'!C47</f>
        <v>Fait lire à l'enfant des communications de l'autre parent</v>
      </c>
      <c r="AL508" s="90">
        <f>'Cpts préjudiciables parents'!G47</f>
        <v>12</v>
      </c>
      <c r="AM508" s="55" t="str">
        <f>'Cpts préjudiciables parents'!H47</f>
        <v/>
      </c>
      <c r="AN508" t="str">
        <v>Confie à l'enfant des informations délicates sur l'autre</v>
      </c>
      <c r="AO508">
        <v>8</v>
      </c>
      <c r="AP508" s="90" t="str">
        <f t="shared" si="22"/>
        <v/>
      </c>
    </row>
    <row r="509" spans="3:42" x14ac:dyDescent="0.2">
      <c r="C509" s="2550" t="str">
        <f>'Cpts préjudiciables parents'!B49</f>
        <v>Rôle actif de l'enfant</v>
      </c>
      <c r="D509" s="2378"/>
      <c r="E509" s="2"/>
      <c r="F509" s="5"/>
      <c r="H509"/>
      <c r="I509"/>
      <c r="AL509" s="2297">
        <f>'Cpts préjudiciables parents'!G48</f>
        <v>12</v>
      </c>
      <c r="AM509" s="55"/>
    </row>
    <row r="510" spans="3:42" x14ac:dyDescent="0.2">
      <c r="C510" s="2551"/>
      <c r="D510" s="1771" t="str">
        <f>IF(AP510="à inclure",AN510,"")</f>
        <v/>
      </c>
      <c r="E510" s="2"/>
      <c r="F510" s="5"/>
      <c r="H510"/>
      <c r="I510"/>
      <c r="AJ510" t="str">
        <f>'Cpts préjudiciables parents'!B49</f>
        <v>Rôle actif de l'enfant</v>
      </c>
      <c r="AK510" t="str">
        <f>'Cpts préjudiciables parents'!C49</f>
        <v>Demande à l'enfant de garder des secrets</v>
      </c>
      <c r="AL510" s="90">
        <f>'Cpts préjudiciables parents'!G49</f>
        <v>21</v>
      </c>
      <c r="AM510" s="55" t="str">
        <f>'Cpts préjudiciables parents'!H49</f>
        <v>à inclure</v>
      </c>
      <c r="AN510" t="str" cm="1">
        <f t="array" ref="AN510:AO513">_xlfn.SORTBY(AK510:AL513,AL510:AL513,-1)</f>
        <v>Encourage un discours haineux envers le ou la nouvelle conjointe de l'autre parent</v>
      </c>
      <c r="AO510" t="str">
        <v/>
      </c>
      <c r="AP510" s="90" t="str">
        <f>IF(AO510="","",IF(OR(AO510&gt;$AL$514,AO510&gt;20),"à inclure",""))</f>
        <v/>
      </c>
    </row>
    <row r="511" spans="3:42" x14ac:dyDescent="0.2">
      <c r="C511" s="2551"/>
      <c r="D511" s="1771" t="str">
        <f t="shared" ref="D511:D513" si="24">IF(AP511="à inclure",AN511,"")</f>
        <v/>
      </c>
      <c r="E511" s="2"/>
      <c r="F511" s="5"/>
      <c r="H511"/>
      <c r="I511"/>
      <c r="AJ511" t="str">
        <f>'Cpts préjudiciables parents'!B50</f>
        <v>Rôle actif de l'enfant</v>
      </c>
      <c r="AK511" t="str">
        <f>'Cpts préjudiciables parents'!C50</f>
        <v>Encourage un discours haineux envers le ou la nouvelle conjointe de l'autre parent</v>
      </c>
      <c r="AL511" s="90" t="str">
        <f>'Cpts préjudiciables parents'!G50</f>
        <v/>
      </c>
      <c r="AM511" s="55" t="str">
        <f>'Cpts préjudiciables parents'!H50</f>
        <v/>
      </c>
      <c r="AN511" t="str">
        <v>Laisse l'enfant le droit de choisir</v>
      </c>
      <c r="AO511" t="str">
        <v/>
      </c>
      <c r="AP511" s="90" t="str">
        <f t="shared" ref="AP511:AP513" si="25">IF(AO511="","",IF(OR(AO511&gt;$AL$514,AO511&gt;20),"à inclure",""))</f>
        <v/>
      </c>
    </row>
    <row r="512" spans="3:42" x14ac:dyDescent="0.2">
      <c r="C512" s="2551"/>
      <c r="D512" s="1771" t="str">
        <f t="shared" si="24"/>
        <v>Demande à l'enfant de faire les messages</v>
      </c>
      <c r="E512" s="2"/>
      <c r="F512" s="5"/>
      <c r="H512"/>
      <c r="I512"/>
      <c r="AJ512" t="str">
        <f>'Cpts préjudiciables parents'!B51</f>
        <v>Rôle actif de l'enfant</v>
      </c>
      <c r="AK512" t="str">
        <f>'Cpts préjudiciables parents'!C51</f>
        <v>Demande à l'enfant de faire les messages</v>
      </c>
      <c r="AL512" s="90">
        <f>'Cpts préjudiciables parents'!G51</f>
        <v>29</v>
      </c>
      <c r="AM512" s="55" t="str">
        <f>'Cpts préjudiciables parents'!H51</f>
        <v>à inclure</v>
      </c>
      <c r="AN512" t="str">
        <v>Demande à l'enfant de faire les messages</v>
      </c>
      <c r="AO512">
        <v>29</v>
      </c>
      <c r="AP512" s="90" t="str">
        <f t="shared" si="25"/>
        <v>à inclure</v>
      </c>
    </row>
    <row r="513" spans="1:42" x14ac:dyDescent="0.2">
      <c r="C513" s="2551"/>
      <c r="D513" s="1771" t="str">
        <f t="shared" si="24"/>
        <v>Demande à l'enfant de garder des secrets</v>
      </c>
      <c r="E513" s="2"/>
      <c r="F513" s="5"/>
      <c r="H513"/>
      <c r="I513"/>
      <c r="AJ513" t="str">
        <f>'Cpts préjudiciables parents'!B52</f>
        <v>Rôle actif de l'enfant</v>
      </c>
      <c r="AK513" t="str">
        <f>'Cpts préjudiciables parents'!C52</f>
        <v>Laisse l'enfant le droit de choisir</v>
      </c>
      <c r="AL513" s="90" t="str">
        <f>'Cpts préjudiciables parents'!G52</f>
        <v/>
      </c>
      <c r="AM513" s="55" t="str">
        <f>'Cpts préjudiciables parents'!H52</f>
        <v/>
      </c>
      <c r="AN513" t="str">
        <v>Demande à l'enfant de garder des secrets</v>
      </c>
      <c r="AO513">
        <v>21</v>
      </c>
      <c r="AP513" s="90" t="str">
        <f t="shared" si="25"/>
        <v>à inclure</v>
      </c>
    </row>
    <row r="514" spans="1:42" x14ac:dyDescent="0.2">
      <c r="C514" s="291"/>
      <c r="D514" s="1771"/>
      <c r="E514" s="2"/>
      <c r="F514" s="5"/>
      <c r="H514"/>
      <c r="I514"/>
      <c r="AL514" s="2297">
        <f>'Cpts préjudiciables parents'!G53</f>
        <v>25</v>
      </c>
    </row>
    <row r="515" spans="1:42" ht="143" customHeight="1" x14ac:dyDescent="0.2">
      <c r="B515" s="2288" t="s">
        <v>2105</v>
      </c>
      <c r="C515" s="2524" t="str">
        <f>'Cpts préjudiciables parents'!C4</f>
        <v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v>
      </c>
      <c r="D515" s="2524"/>
      <c r="E515" s="2524"/>
      <c r="F515" s="2524"/>
      <c r="G515" s="2524"/>
      <c r="H515" s="2524"/>
      <c r="I515" s="2524"/>
      <c r="J515" s="2524"/>
      <c r="K515" s="2524"/>
      <c r="L515" s="2524"/>
    </row>
    <row r="516" spans="1:42" x14ac:dyDescent="0.2">
      <c r="E516" s="2"/>
      <c r="F516" s="5"/>
      <c r="H516"/>
      <c r="I516"/>
    </row>
    <row r="517" spans="1:42" ht="13" customHeight="1" x14ac:dyDescent="0.2">
      <c r="E517" s="2"/>
      <c r="F517" s="5"/>
      <c r="H517"/>
      <c r="I517"/>
    </row>
    <row r="518" spans="1:42" x14ac:dyDescent="0.2">
      <c r="C518" s="291"/>
      <c r="D518" s="2"/>
      <c r="E518" s="2"/>
      <c r="F518" s="5"/>
      <c r="H518"/>
      <c r="I518"/>
    </row>
    <row r="519" spans="1:42" ht="21" x14ac:dyDescent="0.25">
      <c r="A519" s="2486"/>
      <c r="B519" s="2290" t="s">
        <v>1660</v>
      </c>
      <c r="G519" s="1694"/>
      <c r="H519" s="2"/>
      <c r="R519" s="5"/>
      <c r="S519" s="5"/>
      <c r="T519" s="5"/>
      <c r="U519" s="2536"/>
      <c r="V519" s="2536"/>
      <c r="W519" s="2536"/>
      <c r="X519" s="2536"/>
      <c r="Y519" s="2536"/>
      <c r="Z519" s="1942"/>
      <c r="AA519" s="2472"/>
      <c r="AB519" s="2472"/>
      <c r="AC519" s="2472"/>
      <c r="AD519" s="2472"/>
      <c r="AE519" s="2472"/>
    </row>
    <row r="520" spans="1:42" ht="21" x14ac:dyDescent="0.25">
      <c r="A520" s="2486"/>
      <c r="B520" s="1759"/>
      <c r="G520" s="1694"/>
      <c r="R520" s="5"/>
      <c r="S520" s="5"/>
      <c r="T520" s="5"/>
      <c r="U520" s="1942"/>
      <c r="V520" s="1942"/>
      <c r="W520" s="1942"/>
      <c r="X520" s="1942"/>
      <c r="Y520" s="1942"/>
      <c r="Z520" s="1942"/>
      <c r="AA520" s="5"/>
      <c r="AB520" s="66"/>
      <c r="AC520" s="66"/>
      <c r="AD520" s="66"/>
      <c r="AE520" s="5"/>
      <c r="AF520" s="5"/>
    </row>
    <row r="521" spans="1:42" ht="19" x14ac:dyDescent="0.25">
      <c r="A521" s="2486"/>
      <c r="B521" s="1759"/>
      <c r="F521" s="1773"/>
      <c r="G521" s="1694" t="s">
        <v>1983</v>
      </c>
      <c r="H521" s="1772"/>
      <c r="I521" s="1737"/>
      <c r="U521" s="1"/>
      <c r="V521" s="1"/>
      <c r="W521" s="1"/>
      <c r="X521" s="1"/>
      <c r="Y521" s="1"/>
      <c r="Z521" s="1"/>
      <c r="AA521" s="1"/>
      <c r="AB521" s="1"/>
      <c r="AC521" s="1"/>
      <c r="AD521" s="1"/>
      <c r="AE521" s="1"/>
      <c r="AF521" s="1"/>
    </row>
    <row r="522" spans="1:42" ht="19" x14ac:dyDescent="0.25">
      <c r="A522" s="2486"/>
      <c r="C522" s="410"/>
      <c r="L522" s="1760"/>
      <c r="M522" s="1373"/>
      <c r="R522" s="2074"/>
      <c r="S522" s="2074"/>
      <c r="T522" s="2074"/>
      <c r="U522" s="2074"/>
      <c r="V522" s="2074"/>
      <c r="W522" s="2074"/>
      <c r="X522" s="2074"/>
      <c r="Y522" s="2074"/>
      <c r="Z522" s="2074"/>
      <c r="AA522" s="2074"/>
      <c r="AB522" s="2074"/>
      <c r="AC522" s="1941"/>
      <c r="AD522" s="1941"/>
      <c r="AE522" s="1941"/>
      <c r="AF522" s="1941"/>
    </row>
    <row r="523" spans="1:42" x14ac:dyDescent="0.2">
      <c r="C523" s="832" t="s">
        <v>281</v>
      </c>
      <c r="D523" s="57"/>
      <c r="E523" s="3"/>
      <c r="F523" s="3"/>
      <c r="G523" s="3"/>
      <c r="H523" s="3"/>
      <c r="J523" s="2"/>
      <c r="K523" s="1757"/>
      <c r="R523" s="2074"/>
      <c r="S523" s="1941"/>
      <c r="T523" s="1941"/>
      <c r="U523" s="2074"/>
      <c r="V523" s="2074"/>
      <c r="W523" s="2074"/>
      <c r="X523" s="2074"/>
      <c r="Y523" s="2383"/>
      <c r="Z523" s="2383"/>
      <c r="AA523" s="2383"/>
      <c r="AB523" s="2383"/>
      <c r="AC523" s="2383"/>
      <c r="AD523" s="2383"/>
      <c r="AE523" s="2383"/>
      <c r="AF523" s="2074"/>
    </row>
    <row r="524" spans="1:42" x14ac:dyDescent="0.2">
      <c r="C524" s="1761">
        <f>'Indice D''exclusion'!H37</f>
        <v>88</v>
      </c>
      <c r="F524" s="5" t="s">
        <v>1030</v>
      </c>
      <c r="G524" s="5" t="s">
        <v>358</v>
      </c>
      <c r="H524" s="5" t="s">
        <v>1028</v>
      </c>
      <c r="I524" s="5" t="s">
        <v>1029</v>
      </c>
      <c r="J524"/>
      <c r="K524"/>
      <c r="L524" s="1"/>
      <c r="O524" s="5"/>
      <c r="P524" s="5"/>
      <c r="S524" s="5"/>
      <c r="T524" s="2"/>
      <c r="U524" s="706"/>
      <c r="V524" s="5"/>
      <c r="W524" s="5"/>
      <c r="X524" s="5"/>
      <c r="Y524" s="5"/>
      <c r="Z524" s="5"/>
      <c r="AA524" s="90"/>
      <c r="AB524" s="90"/>
      <c r="AC524" s="90"/>
      <c r="AD524" s="90"/>
      <c r="AE524" s="90"/>
      <c r="AF524" s="90"/>
    </row>
    <row r="525" spans="1:42" x14ac:dyDescent="0.2">
      <c r="C525" s="57" t="str">
        <f>'Indice D''exclusion'!H38</f>
        <v>Intention possible</v>
      </c>
      <c r="J525"/>
    </row>
    <row r="526" spans="1:42" x14ac:dyDescent="0.2">
      <c r="J526"/>
    </row>
    <row r="527" spans="1:42" x14ac:dyDescent="0.2">
      <c r="J527"/>
    </row>
    <row r="528" spans="1:42" x14ac:dyDescent="0.2">
      <c r="D528" s="64" t="s">
        <v>1661</v>
      </c>
      <c r="J528"/>
    </row>
    <row r="529" spans="1:31" x14ac:dyDescent="0.2">
      <c r="C529" s="5" t="str">
        <f>'Indice D''exclusion'!I10</f>
        <v>Aucune</v>
      </c>
      <c r="D529" s="5" t="str">
        <f>'Indice D''exclusion'!I38</f>
        <v>0 - 27</v>
      </c>
      <c r="J529"/>
      <c r="K529"/>
    </row>
    <row r="530" spans="1:31" x14ac:dyDescent="0.2">
      <c r="C530" s="5" t="str">
        <f>'Indice D''exclusion'!J10</f>
        <v>Faible</v>
      </c>
      <c r="D530" s="5" t="str">
        <f>'Indice D''exclusion'!J38</f>
        <v>28 - 63</v>
      </c>
    </row>
    <row r="531" spans="1:31" x14ac:dyDescent="0.2">
      <c r="C531" s="5" t="str">
        <f>'Indice D''exclusion'!K10</f>
        <v>Possible</v>
      </c>
      <c r="D531" s="5" t="str">
        <f>'Indice D''exclusion'!K38</f>
        <v>64 - 122</v>
      </c>
    </row>
    <row r="532" spans="1:31" x14ac:dyDescent="0.2">
      <c r="C532" s="5" t="str">
        <f>'Indice D''exclusion'!L10</f>
        <v>Probable</v>
      </c>
      <c r="D532" s="5" t="str">
        <f>'Indice D''exclusion'!L38</f>
        <v>123 - 180</v>
      </c>
    </row>
    <row r="537" spans="1:31" x14ac:dyDescent="0.2">
      <c r="G537" s="1694"/>
    </row>
    <row r="538" spans="1:31" ht="44" customHeight="1" x14ac:dyDescent="0.25">
      <c r="C538" s="2"/>
      <c r="E538" s="2288" t="s">
        <v>2105</v>
      </c>
      <c r="F538" s="2540" t="str">
        <f>'Indice D''exclusion'!D6</f>
        <v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c r="G538" s="2540"/>
      <c r="H538" s="2540"/>
      <c r="I538" s="2540"/>
      <c r="J538" s="2540"/>
      <c r="K538" s="2540"/>
      <c r="N538" s="5"/>
      <c r="O538" s="5"/>
      <c r="P538" s="5"/>
      <c r="Q538" s="5"/>
      <c r="R538" s="5"/>
      <c r="S538" s="2"/>
      <c r="T538" s="5"/>
      <c r="U538" s="5"/>
      <c r="V538" s="5"/>
      <c r="W538" s="5"/>
      <c r="X538" s="5"/>
      <c r="Y538" s="2283"/>
      <c r="Z538" s="5"/>
      <c r="AA538" s="5"/>
    </row>
    <row r="539" spans="1:31" ht="30" customHeight="1" x14ac:dyDescent="0.2">
      <c r="G539" s="291"/>
      <c r="S539" s="2"/>
    </row>
    <row r="540" spans="1:31" ht="21" x14ac:dyDescent="0.25">
      <c r="A540" s="2537"/>
      <c r="B540" s="2318" t="s">
        <v>2012</v>
      </c>
    </row>
    <row r="541" spans="1:31" ht="23" customHeight="1" x14ac:dyDescent="0.2">
      <c r="A541" s="2537"/>
      <c r="B541" s="1759"/>
      <c r="G541" s="1694"/>
      <c r="I541" s="1694" t="s">
        <v>1986</v>
      </c>
      <c r="J541" s="1773"/>
    </row>
    <row r="542" spans="1:31" ht="24" customHeight="1" x14ac:dyDescent="0.25">
      <c r="A542" s="2537"/>
      <c r="C542" s="593" t="s">
        <v>281</v>
      </c>
      <c r="D542" s="2529" t="s">
        <v>1531</v>
      </c>
      <c r="E542" s="2529"/>
      <c r="F542" s="2529"/>
      <c r="G542" s="2529"/>
      <c r="H542" s="2529"/>
      <c r="I542" s="2529"/>
      <c r="J542" s="1768"/>
      <c r="T542" s="5"/>
      <c r="U542" s="2536"/>
      <c r="V542" s="2536"/>
      <c r="W542" s="2536"/>
      <c r="X542" s="2536"/>
      <c r="Y542" s="2536"/>
      <c r="Z542" s="1942"/>
      <c r="AA542" s="2472"/>
      <c r="AB542" s="2472"/>
      <c r="AC542" s="2472"/>
      <c r="AD542" s="2472"/>
      <c r="AE542" s="2472"/>
    </row>
    <row r="543" spans="1:31" ht="29" customHeight="1" x14ac:dyDescent="0.25">
      <c r="A543" s="2537"/>
      <c r="C543" s="593"/>
      <c r="D543" s="706" t="s">
        <v>1642</v>
      </c>
      <c r="E543" s="706" t="s">
        <v>1643</v>
      </c>
      <c r="F543" s="5"/>
      <c r="H543" s="5" t="s">
        <v>1059</v>
      </c>
      <c r="J543" s="11"/>
      <c r="T543" s="5"/>
      <c r="U543" s="1942"/>
      <c r="V543" s="1942"/>
      <c r="W543" s="1942"/>
      <c r="X543" s="1942"/>
      <c r="Y543" s="1942"/>
      <c r="Z543" s="1942"/>
      <c r="AA543" s="5"/>
      <c r="AB543" s="66"/>
      <c r="AC543" s="66"/>
      <c r="AD543" s="66"/>
      <c r="AE543" s="5"/>
    </row>
    <row r="544" spans="1:31" ht="24" customHeight="1" x14ac:dyDescent="0.2">
      <c r="C544" s="1686"/>
      <c r="D544" s="706" t="s">
        <v>1969</v>
      </c>
      <c r="E544" s="706" t="s">
        <v>1970</v>
      </c>
      <c r="F544" s="5" t="s">
        <v>1971</v>
      </c>
      <c r="G544" s="5" t="s">
        <v>1972</v>
      </c>
      <c r="H544" s="90"/>
      <c r="I544" s="90"/>
      <c r="T544" s="5"/>
      <c r="U544" s="1"/>
      <c r="V544" s="1"/>
      <c r="W544" s="1"/>
      <c r="X544" s="1"/>
      <c r="Y544" s="1"/>
      <c r="Z544" s="1"/>
      <c r="AB544" s="1"/>
      <c r="AC544" s="1"/>
      <c r="AD544" s="1"/>
      <c r="AE544" s="1"/>
    </row>
    <row r="545" spans="1:30" ht="22" customHeight="1" x14ac:dyDescent="0.2">
      <c r="A545" s="2552"/>
      <c r="B545" t="s">
        <v>1666</v>
      </c>
      <c r="C545" s="1686">
        <f>'Contribution NC'!C8</f>
        <v>119</v>
      </c>
      <c r="D545" s="90">
        <f>'Contribution NC'!D8</f>
        <v>0</v>
      </c>
      <c r="E545" s="90">
        <f>'Contribution NC'!E8</f>
        <v>103</v>
      </c>
      <c r="F545" s="90">
        <f>'Modèle Calcul A-R + Sommaire'!AJ40</f>
        <v>134.75</v>
      </c>
      <c r="G545" s="90">
        <f>'Modèle Calcul A-R + Sommaire'!AK40</f>
        <v>170.94499999999999</v>
      </c>
      <c r="H545" s="90">
        <f>'Contribution NC'!H8</f>
        <v>230</v>
      </c>
      <c r="I545" s="90"/>
      <c r="T545" s="2"/>
      <c r="U545" s="5"/>
      <c r="V545" s="5"/>
      <c r="W545" s="5"/>
      <c r="X545" s="5"/>
      <c r="Y545" s="5"/>
      <c r="Z545" s="5"/>
      <c r="AB545" s="90"/>
      <c r="AC545" s="90"/>
      <c r="AD545" s="90"/>
    </row>
    <row r="546" spans="1:30" ht="27" customHeight="1" x14ac:dyDescent="0.25">
      <c r="A546" s="2552"/>
      <c r="B546" s="410"/>
    </row>
    <row r="547" spans="1:30" ht="72" customHeight="1" x14ac:dyDescent="0.2">
      <c r="G547" s="1694"/>
      <c r="J547" s="25"/>
      <c r="K547" s="25"/>
    </row>
    <row r="548" spans="1:30" ht="39" customHeight="1" x14ac:dyDescent="0.2">
      <c r="G548" s="1694"/>
      <c r="J548" s="25"/>
      <c r="K548" s="25"/>
    </row>
    <row r="549" spans="1:30" ht="39" customHeight="1" x14ac:dyDescent="0.25">
      <c r="E549" s="2288" t="s">
        <v>2105</v>
      </c>
      <c r="F549" s="2553" t="str">
        <f>'Contribution NC'!C10</f>
        <v>Ce baromètre indique si le nouveau ou la nouvelle conjointe du coparent prend un rôle qui a un impact sur la dynamique et conséquement sur l'enfant.</v>
      </c>
      <c r="G549" s="2553"/>
      <c r="H549" s="2553"/>
      <c r="I549" s="2553"/>
      <c r="J549" s="2553"/>
      <c r="K549" s="25"/>
    </row>
    <row r="550" spans="1:30" ht="28" customHeight="1" x14ac:dyDescent="0.2">
      <c r="G550" s="1694"/>
    </row>
    <row r="552" spans="1:30" ht="24" x14ac:dyDescent="0.25">
      <c r="B552" s="1762" t="s">
        <v>1662</v>
      </c>
      <c r="T552" s="2536"/>
      <c r="U552" s="2536"/>
      <c r="V552" s="2536"/>
      <c r="W552" s="2536"/>
      <c r="X552" s="2536"/>
    </row>
    <row r="553" spans="1:30" ht="21" x14ac:dyDescent="0.25">
      <c r="B553" s="1730"/>
      <c r="G553" s="291"/>
    </row>
    <row r="554" spans="1:30" ht="19" x14ac:dyDescent="0.25">
      <c r="B554" s="1758" t="s">
        <v>1664</v>
      </c>
      <c r="F554" s="1694" t="s">
        <v>1654</v>
      </c>
      <c r="G554" s="1694"/>
    </row>
    <row r="555" spans="1:30" ht="31" customHeight="1" x14ac:dyDescent="0.2">
      <c r="E555" s="1772"/>
      <c r="F555" s="1773" t="s">
        <v>1653</v>
      </c>
      <c r="G555" s="1774"/>
      <c r="H555" s="1772"/>
      <c r="I555" s="1772"/>
    </row>
    <row r="556" spans="1:30" ht="31" customHeight="1" x14ac:dyDescent="0.2">
      <c r="G556" s="1694"/>
    </row>
    <row r="557" spans="1:30" ht="31" customHeight="1" x14ac:dyDescent="0.2">
      <c r="C557" s="1695" t="s">
        <v>281</v>
      </c>
      <c r="D557" s="2529" t="s">
        <v>1531</v>
      </c>
      <c r="E557" s="2529"/>
      <c r="F557" s="2529"/>
      <c r="G557" s="2529"/>
      <c r="H557" s="2529"/>
      <c r="I557" s="2529"/>
    </row>
    <row r="558" spans="1:30" ht="31" customHeight="1" x14ac:dyDescent="0.2">
      <c r="C558" s="591"/>
      <c r="D558" s="706" t="s">
        <v>1642</v>
      </c>
      <c r="E558" s="706" t="s">
        <v>1643</v>
      </c>
      <c r="F558" s="5"/>
      <c r="H558" s="5" t="s">
        <v>1059</v>
      </c>
    </row>
    <row r="559" spans="1:30" ht="31" customHeight="1" x14ac:dyDescent="0.2">
      <c r="C559" s="591"/>
      <c r="D559" s="706" t="s">
        <v>1969</v>
      </c>
      <c r="E559" s="706" t="s">
        <v>1970</v>
      </c>
      <c r="F559" s="5" t="s">
        <v>1971</v>
      </c>
      <c r="G559" s="5" t="s">
        <v>1972</v>
      </c>
    </row>
    <row r="560" spans="1:30" ht="31" customHeight="1" x14ac:dyDescent="0.2">
      <c r="B560" t="s">
        <v>1665</v>
      </c>
      <c r="C560" s="1686">
        <f>'Modèle Calcul A-R + Sommaire'!AG17</f>
        <v>103</v>
      </c>
      <c r="D560" s="90">
        <f>Test_Bible!X380</f>
        <v>0</v>
      </c>
      <c r="E560" s="90">
        <f>'Modèle Calcul A-R + Sommaire'!AJ17</f>
        <v>64</v>
      </c>
      <c r="F560" s="90">
        <f>'Modèle Calcul A-R + Sommaire'!AJ34</f>
        <v>88</v>
      </c>
      <c r="G560" s="90">
        <f>'Modèle Calcul A-R + Sommaire'!AK34</f>
        <v>115.36</v>
      </c>
      <c r="H560" s="90">
        <f>'Modèle Calcul A-R + Sommaire'!AK17</f>
        <v>160</v>
      </c>
      <c r="I560" s="90"/>
    </row>
    <row r="561" spans="2:40" ht="31" customHeight="1" x14ac:dyDescent="0.2">
      <c r="C561" s="1686"/>
      <c r="D561" s="1373"/>
      <c r="G561"/>
      <c r="H561"/>
      <c r="I561"/>
    </row>
    <row r="562" spans="2:40" ht="31" customHeight="1" x14ac:dyDescent="0.2">
      <c r="C562" s="1757"/>
      <c r="D562" s="1373"/>
      <c r="G562"/>
      <c r="H562"/>
      <c r="I562"/>
    </row>
    <row r="563" spans="2:40" ht="31" customHeight="1" x14ac:dyDescent="0.2">
      <c r="C563" s="1757"/>
      <c r="D563" s="1373"/>
      <c r="G563"/>
      <c r="H563"/>
      <c r="I563"/>
    </row>
    <row r="564" spans="2:40" ht="31" customHeight="1" x14ac:dyDescent="0.2">
      <c r="J564" s="2"/>
    </row>
    <row r="565" spans="2:40" ht="29" x14ac:dyDescent="0.35">
      <c r="E565" s="2288" t="s">
        <v>2105</v>
      </c>
      <c r="F565" s="2317" t="s">
        <v>1633</v>
      </c>
      <c r="G565" s="1779"/>
    </row>
    <row r="566" spans="2:40" ht="65" customHeight="1" x14ac:dyDescent="0.25">
      <c r="B566" s="410" t="s">
        <v>1521</v>
      </c>
      <c r="J566" s="1694" t="s">
        <v>1522</v>
      </c>
      <c r="T566" s="1942"/>
      <c r="U566" s="1942"/>
      <c r="V566" s="1942"/>
      <c r="W566" s="1942"/>
    </row>
    <row r="567" spans="2:40" x14ac:dyDescent="0.2">
      <c r="B567" s="1759"/>
      <c r="G567" s="1694"/>
    </row>
    <row r="568" spans="2:40" x14ac:dyDescent="0.2">
      <c r="G568" s="1767"/>
    </row>
    <row r="569" spans="2:40" ht="21" x14ac:dyDescent="0.25">
      <c r="AI569" s="1786"/>
      <c r="AJ569" s="2461" t="str">
        <f>'Modèle Calcul A-R + Sommaire'!BC8</f>
        <v>Devant les comportements aliénants du PF, l'enfant répond :</v>
      </c>
      <c r="AK569" t="s">
        <v>1857</v>
      </c>
      <c r="AL569" s="5" t="s">
        <v>2453</v>
      </c>
      <c r="AM569" t="s">
        <v>2455</v>
      </c>
      <c r="AN569" t="s">
        <v>2454</v>
      </c>
    </row>
    <row r="570" spans="2:40" x14ac:dyDescent="0.2">
      <c r="C570" s="5"/>
      <c r="E570" s="5" t="s">
        <v>1663</v>
      </c>
      <c r="F570" t="s">
        <v>1857</v>
      </c>
      <c r="G570" s="1694" t="s">
        <v>673</v>
      </c>
      <c r="H570" s="5" t="s">
        <v>2455</v>
      </c>
      <c r="I570" s="5" t="s">
        <v>2454</v>
      </c>
      <c r="AH570">
        <v>1</v>
      </c>
      <c r="AI570" s="1693" t="str">
        <f>'Modèle Calcul A-R + Sommaire'!AY10</f>
        <v>Demande de garder des secrets</v>
      </c>
      <c r="AJ570" s="591" t="str">
        <f>IF('Modèle Calcul A-R + Sommaire'!BC10&lt;&gt;"",'Modèle Calcul A-R + Sommaire'!BB10,"")</f>
        <v/>
      </c>
      <c r="AK570" t="str">
        <f>IF($AJ570="","",VLOOKUP($AH570,'Modèle Calcul A-R + Sommaire'!$AX$10:$BO$39,15))</f>
        <v/>
      </c>
      <c r="AL570" t="str">
        <f>IF($AJ570="","",VLOOKUP($AH570,'Modèle Calcul A-R + Sommaire'!$AX$10:$BO$39,16))</f>
        <v/>
      </c>
      <c r="AM570" t="str">
        <f>IF($AJ570="","",VLOOKUP($AH570,'Modèle Calcul A-R + Sommaire'!$AX$10:$BO$39,17))</f>
        <v/>
      </c>
      <c r="AN570" t="str">
        <f>IF($AJ570="","",VLOOKUP($AH570,'Modèle Calcul A-R + Sommaire'!$AX$10:$BO$39,18))</f>
        <v/>
      </c>
    </row>
    <row r="571" spans="2:40" x14ac:dyDescent="0.2">
      <c r="D571" s="2" t="str" cm="1">
        <f t="array" ref="D571:I600">_xlfn._xlws.SORT(_xlfn._xlws.FILTER(AI570:AN599,AJ570:AJ599&gt;=AJ601,""),2,1)</f>
        <v>Réaction en présence des deux parents</v>
      </c>
      <c r="E571" s="5">
        <v>21</v>
      </c>
      <c r="F571" t="str">
        <v xml:space="preserve">Votre enfant change d'attitude lorsqu'il ou elle est en présence de l'autre parent. </v>
      </c>
      <c r="G571" s="5" t="str">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c r="H571" s="5">
        <v>0</v>
      </c>
      <c r="I571" s="5">
        <v>0</v>
      </c>
      <c r="S571" s="2"/>
      <c r="AH571">
        <v>2</v>
      </c>
      <c r="AI571" s="1693" t="str">
        <f>'Modèle Calcul A-R + Sommaire'!AY11</f>
        <v>Abandon de la famille</v>
      </c>
      <c r="AJ571" s="591" t="str">
        <f>IF('Modèle Calcul A-R + Sommaire'!BC11&lt;&gt;"",'Modèle Calcul A-R + Sommaire'!BB11,"")</f>
        <v/>
      </c>
      <c r="AK571" t="str">
        <f>IF($AJ571="","",VLOOKUP($AH571,'Modèle Calcul A-R + Sommaire'!$AX$10:$BO$39,15))</f>
        <v/>
      </c>
      <c r="AL571" t="str">
        <f>IF($AJ571="","",VLOOKUP($AH571,'Modèle Calcul A-R + Sommaire'!$AX$10:$BO$39,16))</f>
        <v/>
      </c>
      <c r="AM571" t="str">
        <f>IF($AJ571="","",VLOOKUP($AH571,'Modèle Calcul A-R + Sommaire'!$AX$10:$BO$39,17))</f>
        <v/>
      </c>
      <c r="AN571" t="str">
        <f>IF($AJ571="","",VLOOKUP($AH571,'Modèle Calcul A-R + Sommaire'!$AX$10:$BO$39,18))</f>
        <v/>
      </c>
    </row>
    <row r="572" spans="2:40" s="7" customFormat="1" ht="23" customHeight="1" x14ac:dyDescent="0.2">
      <c r="D572" s="53" t="str">
        <v>Transport d'objets d'un domicile à l'autre</v>
      </c>
      <c r="E572" s="8">
        <v>26</v>
      </c>
      <c r="F572" s="7" t="str">
        <v xml:space="preserve">Votre enfant n'est pas libre d'apporter ses vêtements, ses jouets ou autres effets personnels d'une maison à l'autre. </v>
      </c>
      <c r="G572" s="1817">
        <v>0</v>
      </c>
      <c r="H572" s="1817">
        <v>0</v>
      </c>
      <c r="I572" s="1817">
        <v>0</v>
      </c>
      <c r="J572" s="2131"/>
      <c r="K572" s="8"/>
      <c r="L572" s="8"/>
      <c r="M572" s="8"/>
      <c r="S572" s="2"/>
      <c r="AH572">
        <v>3</v>
      </c>
      <c r="AI572" s="1693" t="str">
        <f>'Modèle Calcul A-R + Sommaire'!AY12</f>
        <v>Accusation de maladie mentale et dangerosité</v>
      </c>
      <c r="AJ572" s="591" t="str">
        <f>IF('Modèle Calcul A-R + Sommaire'!BC12&lt;&gt;"",'Modèle Calcul A-R + Sommaire'!BB12,"")</f>
        <v/>
      </c>
      <c r="AK572" t="str">
        <f>IF($AJ572="","",VLOOKUP($AH572,'Modèle Calcul A-R + Sommaire'!$AX$10:$BO$39,15))</f>
        <v/>
      </c>
      <c r="AL572" t="str">
        <f>IF($AJ572="","",VLOOKUP($AH572,'Modèle Calcul A-R + Sommaire'!$AX$10:$BO$39,16))</f>
        <v/>
      </c>
      <c r="AM572" t="str">
        <f>IF($AJ572="","",VLOOKUP($AH572,'Modèle Calcul A-R + Sommaire'!$AX$10:$BO$39,17))</f>
        <v/>
      </c>
      <c r="AN572" t="str">
        <f>IF($AJ572="","",VLOOKUP($AH572,'Modèle Calcul A-R + Sommaire'!$AX$10:$BO$39,18))</f>
        <v/>
      </c>
    </row>
    <row r="573" spans="2:40" ht="238" x14ac:dyDescent="0.2">
      <c r="D573" s="2" t="str">
        <v>Modifications des faits et souvenirs</v>
      </c>
      <c r="E573" s="5">
        <v>27</v>
      </c>
      <c r="F573" t="str">
        <v xml:space="preserve">Le récit du passé de votre enfant est altéré par l'autre parent qui déforme les souvenirs de votre enfant. </v>
      </c>
      <c r="G573" s="13">
        <v>0</v>
      </c>
      <c r="H573" s="13">
        <v>0</v>
      </c>
      <c r="I573" s="13" t="str">
        <v>Lorem ipsum – DRAPEAU ROUGE / COMPORTEMENT AP – similique sed deserunt aperiam ad eligendi tempora! Est voluptas omnis cum expedita autem aut quod illum qui consequatur.</v>
      </c>
      <c r="J573" s="833"/>
      <c r="S573" s="2"/>
      <c r="AH573">
        <v>4</v>
      </c>
      <c r="AI573" s="1693" t="str">
        <f>'Modèle Calcul A-R + Sommaire'!AY13</f>
        <v>Manque de sécurité</v>
      </c>
      <c r="AJ573" s="591" t="str">
        <f>IF('Modèle Calcul A-R + Sommaire'!BC13&lt;&gt;"",'Modèle Calcul A-R + Sommaire'!BB13,"")</f>
        <v/>
      </c>
      <c r="AK573" t="str">
        <f>IF($AJ573="","",VLOOKUP($AH573,'Modèle Calcul A-R + Sommaire'!$AX$10:$BO$39,15))</f>
        <v/>
      </c>
      <c r="AL573" t="str">
        <f>IF($AJ573="","",VLOOKUP($AH573,'Modèle Calcul A-R + Sommaire'!$AX$10:$BO$39,16))</f>
        <v/>
      </c>
      <c r="AM573" t="str">
        <f>IF($AJ573="","",VLOOKUP($AH573,'Modèle Calcul A-R + Sommaire'!$AX$10:$BO$39,17))</f>
        <v/>
      </c>
      <c r="AN573" t="str">
        <f>IF($AJ573="","",VLOOKUP($AH573,'Modèle Calcul A-R + Sommaire'!$AX$10:$BO$39,18))</f>
        <v/>
      </c>
    </row>
    <row r="574" spans="2:40" x14ac:dyDescent="0.2">
      <c r="D574" s="2" t="str">
        <v>Fait lire les communications à l'enfant</v>
      </c>
      <c r="E574" s="5">
        <v>32</v>
      </c>
      <c r="F574" t="str">
        <v xml:space="preserve">Votre enfant est au courant des enjeux juridiques ou des conflits qui vous opposent à l'autre parent. </v>
      </c>
      <c r="G574" s="291" t="str">
        <v>Méthode ADR appliquée avec exemple de réponse à venir (important de rassurer votre enfant et de recadrer sans impliquer ou blâmer l'autre parent).</v>
      </c>
      <c r="H574" s="5">
        <v>0</v>
      </c>
      <c r="I574" s="5">
        <v>0</v>
      </c>
      <c r="S574" s="2"/>
      <c r="AH574">
        <v>5</v>
      </c>
      <c r="AI574" s="1693" t="str">
        <f>'Modèle Calcul A-R + Sommaire'!AY14</f>
        <v>Modifications des faits et souvenirs</v>
      </c>
      <c r="AJ574" s="591">
        <f>IF('Modèle Calcul A-R + Sommaire'!BC14&lt;&gt;"",'Modèle Calcul A-R + Sommaire'!BB14,"")</f>
        <v>27</v>
      </c>
      <c r="AK574" t="str">
        <f>IF($AJ574="","",VLOOKUP($AH574,'Modèle Calcul A-R + Sommaire'!$AX$10:$BO$39,15))</f>
        <v xml:space="preserve">Le récit du passé de votre enfant est altéré par l'autre parent qui déforme les souvenirs de votre enfant. </v>
      </c>
      <c r="AL574">
        <f>IF($AJ574="","",VLOOKUP($AH574,'Modèle Calcul A-R + Sommaire'!$AX$10:$BO$39,16))</f>
        <v>0</v>
      </c>
      <c r="AM574">
        <f>IF($AJ574="","",VLOOKUP($AH574,'Modèle Calcul A-R + Sommaire'!$AX$10:$BO$39,17))</f>
        <v>0</v>
      </c>
      <c r="AN574" t="str">
        <f>IF($AJ574="","",VLOOKUP($AH574,'Modèle Calcul A-R + Sommaire'!$AX$10:$BO$39,18))</f>
        <v>Lorem ipsum – DRAPEAU ROUGE / COMPORTEMENT AP – similique sed deserunt aperiam ad eligendi tempora! Est voluptas omnis cum expedita autem aut quod illum qui consequatur.</v>
      </c>
    </row>
    <row r="575" spans="2:40" x14ac:dyDescent="0.2">
      <c r="D575" s="2" t="str">
        <v>Organise des activités hors de sa garde</v>
      </c>
      <c r="E575" s="5">
        <v>50</v>
      </c>
      <c r="F575" t="str">
        <v>Votre enfant subit de la pression pour passer plus de temps chez l'autre parent (par opposition à du temps en votre compagnie).</v>
      </c>
      <c r="G575" s="291" t="str">
        <v>Méthode ADR appliquée avec exemple de réponse à venir (important de rassurer votre enfant et de recadrer sans impliquer ou blâmer l'autre parent).</v>
      </c>
      <c r="H575" s="5">
        <v>0</v>
      </c>
      <c r="I575" s="5">
        <v>0</v>
      </c>
      <c r="S575" s="2"/>
      <c r="AH575">
        <v>6</v>
      </c>
      <c r="AI575" s="1733" t="str">
        <f>'Modèle Calcul A-R + Sommaire'!AY15</f>
        <v>Culpabilise l'enfant de son amour envers vous</v>
      </c>
      <c r="AJ575" s="557" t="str">
        <f>IF('Modèle Calcul A-R + Sommaire'!BC15&lt;&gt;"",'Modèle Calcul A-R + Sommaire'!BB15,"")</f>
        <v/>
      </c>
      <c r="AK575" t="str">
        <f>IF($AJ575="","",VLOOKUP($AH575,'Modèle Calcul A-R + Sommaire'!$AX$10:$BO$39,15))</f>
        <v/>
      </c>
      <c r="AL575" t="str">
        <f>IF($AJ575="","",VLOOKUP($AH575,'Modèle Calcul A-R + Sommaire'!$AX$10:$BO$39,16))</f>
        <v/>
      </c>
      <c r="AM575" t="str">
        <f>IF($AJ575="","",VLOOKUP($AH575,'Modèle Calcul A-R + Sommaire'!$AX$10:$BO$39,17))</f>
        <v/>
      </c>
      <c r="AN575" t="str">
        <f>IF($AJ575="","",VLOOKUP($AH575,'Modèle Calcul A-R + Sommaire'!$AX$10:$BO$39,18))</f>
        <v/>
      </c>
    </row>
    <row r="576" spans="2:40" x14ac:dyDescent="0.2">
      <c r="D576" s="2" t="str">
        <v>Demande de garder des secrets</v>
      </c>
      <c r="E576" s="5" t="str">
        <v/>
      </c>
      <c r="F576" t="str">
        <v/>
      </c>
      <c r="G576" s="291" t="str">
        <v/>
      </c>
      <c r="H576" s="5" t="str">
        <v/>
      </c>
      <c r="I576" s="5" t="str">
        <v/>
      </c>
      <c r="S576" s="2"/>
      <c r="AH576">
        <v>7</v>
      </c>
      <c r="AI576" s="1693" t="str">
        <f>'Modèle Calcul A-R + Sommaire'!AY16</f>
        <v>Intervention à la suite d'un retour de garde</v>
      </c>
      <c r="AJ576" s="591" t="str">
        <f>IF('Modèle Calcul A-R + Sommaire'!BC16&lt;&gt;"",'Modèle Calcul A-R + Sommaire'!BB16,"")</f>
        <v/>
      </c>
      <c r="AK576" t="str">
        <f>IF($AJ576="","",VLOOKUP($AH576,'Modèle Calcul A-R + Sommaire'!$AX$10:$BO$39,15))</f>
        <v/>
      </c>
      <c r="AL576" t="str">
        <f>IF($AJ576="","",VLOOKUP($AH576,'Modèle Calcul A-R + Sommaire'!$AX$10:$BO$39,16))</f>
        <v/>
      </c>
      <c r="AM576" t="str">
        <f>IF($AJ576="","",VLOOKUP($AH576,'Modèle Calcul A-R + Sommaire'!$AX$10:$BO$39,17))</f>
        <v/>
      </c>
      <c r="AN576" t="str">
        <f>IF($AJ576="","",VLOOKUP($AH576,'Modèle Calcul A-R + Sommaire'!$AX$10:$BO$39,18))</f>
        <v/>
      </c>
    </row>
    <row r="577" spans="4:40" x14ac:dyDescent="0.2">
      <c r="D577" s="2" t="str">
        <v>Abandon de la famille</v>
      </c>
      <c r="E577" s="5" t="str">
        <v/>
      </c>
      <c r="F577" t="str">
        <v/>
      </c>
      <c r="G577" s="291" t="str">
        <v/>
      </c>
      <c r="H577" s="5" t="str">
        <v/>
      </c>
      <c r="I577" s="5" t="str">
        <v/>
      </c>
      <c r="S577" s="2"/>
      <c r="AH577">
        <v>8</v>
      </c>
      <c r="AI577" s="1693" t="str">
        <f>'Modèle Calcul A-R + Sommaire'!AY17</f>
        <v>Réaction en présence des deux parents</v>
      </c>
      <c r="AJ577" s="591">
        <f>IF('Modèle Calcul A-R + Sommaire'!BC17&lt;&gt;"",'Modèle Calcul A-R + Sommaire'!BB17,"")</f>
        <v>21</v>
      </c>
      <c r="AK577" t="str">
        <f>IF($AJ577="","",VLOOKUP($AH577,'Modèle Calcul A-R + Sommaire'!$AX$10:$BO$39,15))</f>
        <v xml:space="preserve">Votre enfant change d'attitude lorsqu'il ou elle est en présence de l'autre parent. </v>
      </c>
      <c r="AL577" t="str">
        <f>IF($AJ577="","",VLOOKUP($AH577,'Modèle Calcul A-R + Sommaire'!$AX$10:$BO$39,16))</f>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c r="AM577">
        <f>IF($AJ577="","",VLOOKUP($AH577,'Modèle Calcul A-R + Sommaire'!$AX$10:$BO$39,17))</f>
        <v>0</v>
      </c>
      <c r="AN577">
        <f>IF($AJ577="","",VLOOKUP($AH577,'Modèle Calcul A-R + Sommaire'!$AX$10:$BO$39,18))</f>
        <v>0</v>
      </c>
    </row>
    <row r="578" spans="4:40" x14ac:dyDescent="0.2">
      <c r="D578" s="2" t="str">
        <v>Accusation de maladie mentale et dangerosité</v>
      </c>
      <c r="E578" s="5" t="str">
        <v/>
      </c>
      <c r="F578" t="str">
        <v/>
      </c>
      <c r="G578" s="291" t="str">
        <v/>
      </c>
      <c r="H578" s="5" t="str">
        <v/>
      </c>
      <c r="I578" s="5" t="str">
        <v/>
      </c>
      <c r="S578" s="2"/>
      <c r="AH578">
        <v>9</v>
      </c>
      <c r="AI578" s="1693" t="str">
        <f>'Modèle Calcul A-R + Sommaire'!AY18</f>
        <v>Dénigre l'autre</v>
      </c>
      <c r="AJ578" s="591" t="str">
        <f>IF('Modèle Calcul A-R + Sommaire'!BC18&lt;&gt;"",'Modèle Calcul A-R + Sommaire'!BB18,"")</f>
        <v/>
      </c>
      <c r="AK578" t="str">
        <f>IF($AJ578="","",VLOOKUP($AH578,'Modèle Calcul A-R + Sommaire'!$AX$10:$BO$39,15))</f>
        <v/>
      </c>
      <c r="AL578" t="str">
        <f>IF($AJ578="","",VLOOKUP($AH578,'Modèle Calcul A-R + Sommaire'!$AX$10:$BO$39,16))</f>
        <v/>
      </c>
      <c r="AM578" t="str">
        <f>IF($AJ578="","",VLOOKUP($AH578,'Modèle Calcul A-R + Sommaire'!$AX$10:$BO$39,17))</f>
        <v/>
      </c>
      <c r="AN578" t="str">
        <f>IF($AJ578="","",VLOOKUP($AH578,'Modèle Calcul A-R + Sommaire'!$AX$10:$BO$39,18))</f>
        <v/>
      </c>
    </row>
    <row r="579" spans="4:40" x14ac:dyDescent="0.2">
      <c r="D579" s="2" t="str">
        <v>Manque de sécurité</v>
      </c>
      <c r="E579" s="5" t="str">
        <v/>
      </c>
      <c r="F579" t="str">
        <v/>
      </c>
      <c r="G579" s="291" t="str">
        <v/>
      </c>
      <c r="H579" s="5" t="str">
        <v/>
      </c>
      <c r="I579" s="5" t="str">
        <v/>
      </c>
      <c r="S579" s="2"/>
      <c r="AH579">
        <v>10</v>
      </c>
      <c r="AI579" s="1693" t="str">
        <f>'Modèle Calcul A-R + Sommaire'!AY19</f>
        <v>Dénigre la nouvelle famille</v>
      </c>
      <c r="AJ579" s="591" t="str">
        <f>IF('Modèle Calcul A-R + Sommaire'!BC19&lt;&gt;"",'Modèle Calcul A-R + Sommaire'!BB19,"")</f>
        <v/>
      </c>
      <c r="AK579" t="str">
        <f>IF($AJ579="","",VLOOKUP($AH579,'Modèle Calcul A-R + Sommaire'!$AX$10:$BO$39,15))</f>
        <v/>
      </c>
      <c r="AL579" t="str">
        <f>IF($AJ579="","",VLOOKUP($AH579,'Modèle Calcul A-R + Sommaire'!$AX$10:$BO$39,16))</f>
        <v/>
      </c>
      <c r="AM579" t="str">
        <f>IF($AJ579="","",VLOOKUP($AH579,'Modèle Calcul A-R + Sommaire'!$AX$10:$BO$39,17))</f>
        <v/>
      </c>
      <c r="AN579" t="str">
        <f>IF($AJ579="","",VLOOKUP($AH579,'Modèle Calcul A-R + Sommaire'!$AX$10:$BO$39,18))</f>
        <v/>
      </c>
    </row>
    <row r="580" spans="4:40" x14ac:dyDescent="0.2">
      <c r="D580" s="2" t="str">
        <v>Culpabilise l'enfant de son amour envers vous</v>
      </c>
      <c r="E580" s="5" t="str">
        <v/>
      </c>
      <c r="F580" t="str">
        <v/>
      </c>
      <c r="G580" s="291" t="str">
        <v/>
      </c>
      <c r="H580" s="5" t="str">
        <v/>
      </c>
      <c r="I580" s="5" t="str">
        <v/>
      </c>
      <c r="S580" s="2"/>
      <c r="AH580">
        <v>11</v>
      </c>
      <c r="AI580" s="1693" t="str">
        <f>'Modèle Calcul A-R + Sommaire'!AY20</f>
        <v>La nouvelle famille est "LA vraie"</v>
      </c>
      <c r="AJ580" s="591" t="str">
        <f>IF('Modèle Calcul A-R + Sommaire'!BC20&lt;&gt;"",'Modèle Calcul A-R + Sommaire'!BB20,"")</f>
        <v/>
      </c>
      <c r="AK580" t="str">
        <f>IF($AJ580="","",VLOOKUP($AH580,'Modèle Calcul A-R + Sommaire'!$AX$10:$BO$39,15))</f>
        <v/>
      </c>
      <c r="AL580" t="str">
        <f>IF($AJ580="","",VLOOKUP($AH580,'Modèle Calcul A-R + Sommaire'!$AX$10:$BO$39,16))</f>
        <v/>
      </c>
      <c r="AM580" t="str">
        <f>IF($AJ580="","",VLOOKUP($AH580,'Modèle Calcul A-R + Sommaire'!$AX$10:$BO$39,17))</f>
        <v/>
      </c>
      <c r="AN580" t="str">
        <f>IF($AJ580="","",VLOOKUP($AH580,'Modèle Calcul A-R + Sommaire'!$AX$10:$BO$39,18))</f>
        <v/>
      </c>
    </row>
    <row r="581" spans="4:40" x14ac:dyDescent="0.2">
      <c r="D581" s="2" t="str">
        <v>Intervention à la suite d'un retour de garde</v>
      </c>
      <c r="E581" s="5" t="str">
        <v/>
      </c>
      <c r="F581" t="str">
        <v/>
      </c>
      <c r="G581" s="291" t="str">
        <v/>
      </c>
      <c r="H581" s="5" t="str">
        <v/>
      </c>
      <c r="I581" s="5" t="str">
        <v/>
      </c>
      <c r="S581" s="2"/>
      <c r="AH581">
        <v>12</v>
      </c>
      <c r="AI581" s="1693" t="str">
        <f>'Modèle Calcul A-R + Sommaire'!AY21</f>
        <v>Le nouveau ou la nouvelle conjoint.e se fait appeler "papa" ou "maman"</v>
      </c>
      <c r="AJ581" s="591" t="str">
        <f>IF('Modèle Calcul A-R + Sommaire'!BC21&lt;&gt;"",'Modèle Calcul A-R + Sommaire'!BB21,"")</f>
        <v/>
      </c>
      <c r="AK581" t="str">
        <f>IF($AJ581="","",VLOOKUP($AH581,'Modèle Calcul A-R + Sommaire'!$AX$10:$BO$39,15))</f>
        <v/>
      </c>
      <c r="AL581" t="str">
        <f>IF($AJ581="","",VLOOKUP($AH581,'Modèle Calcul A-R + Sommaire'!$AX$10:$BO$39,16))</f>
        <v/>
      </c>
      <c r="AM581" t="str">
        <f>IF($AJ581="","",VLOOKUP($AH581,'Modèle Calcul A-R + Sommaire'!$AX$10:$BO$39,17))</f>
        <v/>
      </c>
      <c r="AN581" t="str">
        <f>IF($AJ581="","",VLOOKUP($AH581,'Modèle Calcul A-R + Sommaire'!$AX$10:$BO$39,18))</f>
        <v/>
      </c>
    </row>
    <row r="582" spans="4:40" x14ac:dyDescent="0.2">
      <c r="D582" s="2" t="str">
        <v>Dénigre l'autre</v>
      </c>
      <c r="E582" s="5" t="str">
        <v/>
      </c>
      <c r="F582" t="str">
        <v/>
      </c>
      <c r="G582" s="291" t="str">
        <v/>
      </c>
      <c r="H582" s="5" t="str">
        <v/>
      </c>
      <c r="I582" s="5" t="str">
        <v/>
      </c>
      <c r="S582" s="2"/>
      <c r="AH582">
        <v>13</v>
      </c>
      <c r="AI582" s="1693" t="str">
        <f>'Modèle Calcul A-R + Sommaire'!AY22</f>
        <v>Changement d'horaire de l'enfant</v>
      </c>
      <c r="AJ582" s="591" t="str">
        <f>IF('Modèle Calcul A-R + Sommaire'!BC22&lt;&gt;"",'Modèle Calcul A-R + Sommaire'!BB22,"")</f>
        <v/>
      </c>
      <c r="AK582" t="str">
        <f>IF($AJ582="","",VLOOKUP($AH582,'Modèle Calcul A-R + Sommaire'!$AX$10:$BO$39,15))</f>
        <v/>
      </c>
      <c r="AL582" t="str">
        <f>IF($AJ582="","",VLOOKUP($AH582,'Modèle Calcul A-R + Sommaire'!$AX$10:$BO$39,16))</f>
        <v/>
      </c>
      <c r="AM582" t="str">
        <f>IF($AJ582="","",VLOOKUP($AH582,'Modèle Calcul A-R + Sommaire'!$AX$10:$BO$39,17))</f>
        <v/>
      </c>
      <c r="AN582" t="str">
        <f>IF($AJ582="","",VLOOKUP($AH582,'Modèle Calcul A-R + Sommaire'!$AX$10:$BO$39,18))</f>
        <v/>
      </c>
    </row>
    <row r="583" spans="4:40" x14ac:dyDescent="0.2">
      <c r="D583" s="2" t="str">
        <v>Dénigre la nouvelle famille</v>
      </c>
      <c r="E583" s="5" t="str">
        <v/>
      </c>
      <c r="F583" t="str">
        <v/>
      </c>
      <c r="G583" s="291" t="str">
        <v/>
      </c>
      <c r="H583" s="5" t="str">
        <v/>
      </c>
      <c r="I583" s="5" t="str">
        <v/>
      </c>
      <c r="S583" s="2"/>
      <c r="AH583">
        <v>14</v>
      </c>
      <c r="AI583" s="1693" t="str">
        <f>'Modèle Calcul A-R + Sommaire'!AY23</f>
        <v>Organise des activités hors de sa garde</v>
      </c>
      <c r="AJ583" s="591">
        <f>IF('Modèle Calcul A-R + Sommaire'!BC23&lt;&gt;"",'Modèle Calcul A-R + Sommaire'!BB23,"")</f>
        <v>50</v>
      </c>
      <c r="AK583" t="str">
        <f>IF($AJ583="","",VLOOKUP($AH583,'Modèle Calcul A-R + Sommaire'!$AX$10:$BO$39,15))</f>
        <v>Votre enfant subit de la pression pour passer plus de temps chez l'autre parent (par opposition à du temps en votre compagnie).</v>
      </c>
      <c r="AL583" t="str">
        <f>IF($AJ583="","",VLOOKUP($AH583,'Modèle Calcul A-R + Sommaire'!$AX$10:$BO$39,16))</f>
        <v>Méthode ADR appliquée avec exemple de réponse à venir (important de rassurer votre enfant et de recadrer sans impliquer ou blâmer l'autre parent).</v>
      </c>
      <c r="AM583">
        <f>IF($AJ583="","",VLOOKUP($AH583,'Modèle Calcul A-R + Sommaire'!$AX$10:$BO$39,17))</f>
        <v>0</v>
      </c>
      <c r="AN583">
        <f>IF($AJ583="","",VLOOKUP($AH583,'Modèle Calcul A-R + Sommaire'!$AX$10:$BO$39,18))</f>
        <v>0</v>
      </c>
    </row>
    <row r="584" spans="4:40" x14ac:dyDescent="0.2">
      <c r="D584" s="2" t="str">
        <v>La nouvelle famille est "LA vraie"</v>
      </c>
      <c r="E584" s="5" t="str">
        <v/>
      </c>
      <c r="F584" t="str">
        <v/>
      </c>
      <c r="G584" s="291" t="str">
        <v/>
      </c>
      <c r="H584" s="5" t="str">
        <v/>
      </c>
      <c r="I584" s="5" t="str">
        <v/>
      </c>
      <c r="S584" s="2"/>
      <c r="AH584">
        <v>15</v>
      </c>
      <c r="AI584" s="1693" t="str">
        <f>'Modèle Calcul A-R + Sommaire'!AY24</f>
        <v>Impose sa présence (appel, texto)</v>
      </c>
      <c r="AJ584" s="591" t="str">
        <f>IF('Modèle Calcul A-R + Sommaire'!BC24&lt;&gt;"",'Modèle Calcul A-R + Sommaire'!BB24,"")</f>
        <v/>
      </c>
      <c r="AK584" t="str">
        <f>IF($AJ584="","",VLOOKUP($AH584,'Modèle Calcul A-R + Sommaire'!$AX$10:$BO$39,15))</f>
        <v/>
      </c>
      <c r="AL584" t="str">
        <f>IF($AJ584="","",VLOOKUP($AH584,'Modèle Calcul A-R + Sommaire'!$AX$10:$BO$39,16))</f>
        <v/>
      </c>
      <c r="AM584" t="str">
        <f>IF($AJ584="","",VLOOKUP($AH584,'Modèle Calcul A-R + Sommaire'!$AX$10:$BO$39,17))</f>
        <v/>
      </c>
      <c r="AN584" t="str">
        <f>IF($AJ584="","",VLOOKUP($AH584,'Modèle Calcul A-R + Sommaire'!$AX$10:$BO$39,18))</f>
        <v/>
      </c>
    </row>
    <row r="585" spans="4:40" x14ac:dyDescent="0.2">
      <c r="D585" s="2" t="str">
        <v>Le nouveau ou la nouvelle conjoint.e se fait appeler "papa" ou "maman"</v>
      </c>
      <c r="E585" s="5" t="str">
        <v/>
      </c>
      <c r="F585" t="str">
        <v/>
      </c>
      <c r="G585" s="291" t="str">
        <v/>
      </c>
      <c r="H585" s="5" t="str">
        <v/>
      </c>
      <c r="I585" s="5" t="str">
        <v/>
      </c>
      <c r="S585" s="2"/>
      <c r="AH585">
        <v>16</v>
      </c>
      <c r="AI585" s="1693" t="str">
        <f>'Modèle Calcul A-R + Sommaire'!AY25</f>
        <v>Contrôle des communications</v>
      </c>
      <c r="AJ585" s="591" t="str">
        <f>IF('Modèle Calcul A-R + Sommaire'!BC25&lt;&gt;"",'Modèle Calcul A-R + Sommaire'!BB25,"")</f>
        <v/>
      </c>
      <c r="AK585" t="str">
        <f>IF($AJ585="","",VLOOKUP($AH585,'Modèle Calcul A-R + Sommaire'!$AX$10:$BO$39,15))</f>
        <v/>
      </c>
      <c r="AL585" t="str">
        <f>IF($AJ585="","",VLOOKUP($AH585,'Modèle Calcul A-R + Sommaire'!$AX$10:$BO$39,16))</f>
        <v/>
      </c>
      <c r="AM585" t="str">
        <f>IF($AJ585="","",VLOOKUP($AH585,'Modèle Calcul A-R + Sommaire'!$AX$10:$BO$39,17))</f>
        <v/>
      </c>
      <c r="AN585" t="str">
        <f>IF($AJ585="","",VLOOKUP($AH585,'Modèle Calcul A-R + Sommaire'!$AX$10:$BO$39,18))</f>
        <v/>
      </c>
    </row>
    <row r="586" spans="4:40" x14ac:dyDescent="0.2">
      <c r="D586" s="2" t="str">
        <v>Changement d'horaire de l'enfant</v>
      </c>
      <c r="E586" s="5" t="str">
        <v/>
      </c>
      <c r="F586" t="str">
        <v/>
      </c>
      <c r="G586" s="291" t="str">
        <v/>
      </c>
      <c r="H586" s="5" t="str">
        <v/>
      </c>
      <c r="I586" s="5" t="str">
        <v/>
      </c>
      <c r="S586" s="2"/>
      <c r="AH586">
        <v>17</v>
      </c>
      <c r="AI586" s="1693" t="str">
        <f>'Modèle Calcul A-R + Sommaire'!AY26</f>
        <v>Contact de l'enfant avec la famille élargie</v>
      </c>
      <c r="AJ586" s="591" t="str">
        <f>IF('Modèle Calcul A-R + Sommaire'!BC26&lt;&gt;"",'Modèle Calcul A-R + Sommaire'!BB26,"")</f>
        <v/>
      </c>
      <c r="AK586" t="str">
        <f>IF($AJ586="","",VLOOKUP($AH586,'Modèle Calcul A-R + Sommaire'!$AX$10:$BO$39,15))</f>
        <v/>
      </c>
      <c r="AL586" t="str">
        <f>IF($AJ586="","",VLOOKUP($AH586,'Modèle Calcul A-R + Sommaire'!$AX$10:$BO$39,16))</f>
        <v/>
      </c>
      <c r="AM586" t="str">
        <f>IF($AJ586="","",VLOOKUP($AH586,'Modèle Calcul A-R + Sommaire'!$AX$10:$BO$39,17))</f>
        <v/>
      </c>
      <c r="AN586" t="str">
        <f>IF($AJ586="","",VLOOKUP($AH586,'Modèle Calcul A-R + Sommaire'!$AX$10:$BO$39,18))</f>
        <v/>
      </c>
    </row>
    <row r="587" spans="4:40" x14ac:dyDescent="0.2">
      <c r="D587" s="2" t="str">
        <v>Impose sa présence (appel, texto)</v>
      </c>
      <c r="E587" s="5" t="str">
        <v/>
      </c>
      <c r="F587" t="str">
        <v/>
      </c>
      <c r="G587" s="291" t="str">
        <v/>
      </c>
      <c r="H587" s="5" t="str">
        <v/>
      </c>
      <c r="I587" s="5" t="str">
        <v/>
      </c>
      <c r="S587" s="2"/>
      <c r="AH587">
        <v>18</v>
      </c>
      <c r="AI587" s="1693" t="str">
        <f>'Modèle Calcul A-R + Sommaire'!AY27</f>
        <v>Sujet personnel|intime partagé à l'enfant</v>
      </c>
      <c r="AJ587" s="591" t="str">
        <f>IF('Modèle Calcul A-R + Sommaire'!BC27&lt;&gt;"",'Modèle Calcul A-R + Sommaire'!BB27,"")</f>
        <v/>
      </c>
      <c r="AK587" t="str">
        <f>IF($AJ587="","",VLOOKUP($AH587,'Modèle Calcul A-R + Sommaire'!$AX$10:$BO$39,15))</f>
        <v/>
      </c>
      <c r="AL587" t="str">
        <f>IF($AJ587="","",VLOOKUP($AH587,'Modèle Calcul A-R + Sommaire'!$AX$10:$BO$39,16))</f>
        <v/>
      </c>
      <c r="AM587" t="str">
        <f>IF($AJ587="","",VLOOKUP($AH587,'Modèle Calcul A-R + Sommaire'!$AX$10:$BO$39,17))</f>
        <v/>
      </c>
      <c r="AN587" t="str">
        <f>IF($AJ587="","",VLOOKUP($AH587,'Modèle Calcul A-R + Sommaire'!$AX$10:$BO$39,18))</f>
        <v/>
      </c>
    </row>
    <row r="588" spans="4:40" x14ac:dyDescent="0.2">
      <c r="D588" s="2" t="str">
        <v>Contrôle des communications</v>
      </c>
      <c r="E588" s="5" t="str">
        <v/>
      </c>
      <c r="F588" t="str">
        <v/>
      </c>
      <c r="G588" s="291" t="str">
        <v/>
      </c>
      <c r="H588" s="5" t="str">
        <v/>
      </c>
      <c r="I588" s="5" t="str">
        <v/>
      </c>
      <c r="S588" s="2"/>
      <c r="AH588">
        <v>19</v>
      </c>
      <c r="AI588" s="1693" t="str">
        <f>'Modèle Calcul A-R + Sommaire'!AY28</f>
        <v>Fait lire les communications à l'enfant</v>
      </c>
      <c r="AJ588" s="591">
        <f>IF('Modèle Calcul A-R + Sommaire'!BC28&lt;&gt;"",'Modèle Calcul A-R + Sommaire'!BB28,"")</f>
        <v>32</v>
      </c>
      <c r="AK588" t="str">
        <f>IF($AJ588="","",VLOOKUP($AH588,'Modèle Calcul A-R + Sommaire'!$AX$10:$BO$39,15))</f>
        <v xml:space="preserve">Votre enfant est au courant des enjeux juridiques ou des conflits qui vous opposent à l'autre parent. </v>
      </c>
      <c r="AL588" t="str">
        <f>IF($AJ588="","",VLOOKUP($AH588,'Modèle Calcul A-R + Sommaire'!$AX$10:$BO$39,16))</f>
        <v>Méthode ADR appliquée avec exemple de réponse à venir (important de rassurer votre enfant et de recadrer sans impliquer ou blâmer l'autre parent).</v>
      </c>
      <c r="AM588">
        <f>IF($AJ588="","",VLOOKUP($AH588,'Modèle Calcul A-R + Sommaire'!$AX$10:$BO$39,17))</f>
        <v>0</v>
      </c>
      <c r="AN588">
        <f>IF($AJ588="","",VLOOKUP($AH588,'Modèle Calcul A-R + Sommaire'!$AX$10:$BO$39,18))</f>
        <v>0</v>
      </c>
    </row>
    <row r="589" spans="4:40" ht="19" x14ac:dyDescent="0.25">
      <c r="D589" s="2" t="str">
        <v>Contact de l'enfant avec la famille élargie</v>
      </c>
      <c r="E589" s="5" t="str">
        <v/>
      </c>
      <c r="F589" t="str">
        <v/>
      </c>
      <c r="G589" s="291" t="str">
        <v/>
      </c>
      <c r="H589" s="5" t="str">
        <v/>
      </c>
      <c r="I589" s="5" t="str">
        <v/>
      </c>
      <c r="L589" s="2288" t="s">
        <v>2105</v>
      </c>
      <c r="M589" s="80"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c r="S589" s="2"/>
      <c r="AH589">
        <v>20</v>
      </c>
      <c r="AI589" s="1693" t="str">
        <f>'Modèle Calcul A-R + Sommaire'!AY29</f>
        <v>L'enfant est messager de la logistique</v>
      </c>
      <c r="AJ589" s="591" t="str">
        <f>IF('Modèle Calcul A-R + Sommaire'!BC29&lt;&gt;"",'Modèle Calcul A-R + Sommaire'!BB29,"")</f>
        <v/>
      </c>
      <c r="AK589" t="str">
        <f>IF($AJ589="","",VLOOKUP($AH589,'Modèle Calcul A-R + Sommaire'!$AX$10:$BO$39,15))</f>
        <v/>
      </c>
      <c r="AL589" t="str">
        <f>IF($AJ589="","",VLOOKUP($AH589,'Modèle Calcul A-R + Sommaire'!$AX$10:$BO$39,16))</f>
        <v/>
      </c>
      <c r="AM589" t="str">
        <f>IF($AJ589="","",VLOOKUP($AH589,'Modèle Calcul A-R + Sommaire'!$AX$10:$BO$39,17))</f>
        <v/>
      </c>
      <c r="AN589" t="str">
        <f>IF($AJ589="","",VLOOKUP($AH589,'Modèle Calcul A-R + Sommaire'!$AX$10:$BO$39,18))</f>
        <v/>
      </c>
    </row>
    <row r="590" spans="4:40" ht="19" customHeight="1" x14ac:dyDescent="0.25">
      <c r="D590" s="2" t="str">
        <v>Sujet personnel|intime partagé à l'enfant</v>
      </c>
      <c r="E590" s="5" t="str">
        <v/>
      </c>
      <c r="F590" t="str">
        <v/>
      </c>
      <c r="G590" s="5" t="str">
        <v/>
      </c>
      <c r="H590" s="5" t="str">
        <v/>
      </c>
      <c r="I590" s="5" t="str">
        <v/>
      </c>
      <c r="J590" s="2285"/>
      <c r="K590" s="2285"/>
      <c r="L590" s="2285"/>
      <c r="O590" s="2285"/>
      <c r="S590" s="2"/>
      <c r="AH590">
        <v>21</v>
      </c>
      <c r="AI590" s="1693" t="str">
        <f>'Modèle Calcul A-R + Sommaire'!AY30</f>
        <v>Liberté du choix de l'enfant</v>
      </c>
      <c r="AJ590" s="591" t="str">
        <f>IF('Modèle Calcul A-R + Sommaire'!BC30&lt;&gt;"",'Modèle Calcul A-R + Sommaire'!BB30,"")</f>
        <v/>
      </c>
      <c r="AK590" t="str">
        <f>IF($AJ590="","",VLOOKUP($AH590,'Modèle Calcul A-R + Sommaire'!$AX$10:$BO$39,15))</f>
        <v/>
      </c>
      <c r="AL590" t="str">
        <f>IF($AJ590="","",VLOOKUP($AH590,'Modèle Calcul A-R + Sommaire'!$AX$10:$BO$39,16))</f>
        <v/>
      </c>
      <c r="AM590" t="str">
        <f>IF($AJ590="","",VLOOKUP($AH590,'Modèle Calcul A-R + Sommaire'!$AX$10:$BO$39,17))</f>
        <v/>
      </c>
      <c r="AN590" t="str">
        <f>IF($AJ590="","",VLOOKUP($AH590,'Modèle Calcul A-R + Sommaire'!$AX$10:$BO$39,18))</f>
        <v/>
      </c>
    </row>
    <row r="591" spans="4:40" x14ac:dyDescent="0.2">
      <c r="D591" s="2" t="str">
        <v>L'enfant est messager de la logistique</v>
      </c>
      <c r="E591" s="5" t="str">
        <v/>
      </c>
      <c r="F591" t="str">
        <v/>
      </c>
      <c r="G591" s="291" t="str">
        <v/>
      </c>
      <c r="H591" s="5" t="str">
        <v/>
      </c>
      <c r="I591" s="5" t="str">
        <v/>
      </c>
      <c r="S591" s="2"/>
      <c r="AH591">
        <v>22</v>
      </c>
      <c r="AI591" s="1693" t="str">
        <f>'Modèle Calcul A-R + Sommaire'!AY31</f>
        <v>Maturité de l'enfant de choisir</v>
      </c>
      <c r="AJ591" s="591" t="str">
        <f>IF('Modèle Calcul A-R + Sommaire'!BC31&lt;&gt;"",'Modèle Calcul A-R + Sommaire'!BB31,"")</f>
        <v/>
      </c>
      <c r="AK591" t="str">
        <f>IF($AJ591="","",VLOOKUP($AH591,'Modèle Calcul A-R + Sommaire'!$AX$10:$BO$39,15))</f>
        <v/>
      </c>
      <c r="AL591" t="str">
        <f>IF($AJ591="","",VLOOKUP($AH591,'Modèle Calcul A-R + Sommaire'!$AX$10:$BO$39,16))</f>
        <v/>
      </c>
      <c r="AM591" t="str">
        <f>IF($AJ591="","",VLOOKUP($AH591,'Modèle Calcul A-R + Sommaire'!$AX$10:$BO$39,17))</f>
        <v/>
      </c>
      <c r="AN591" t="str">
        <f>IF($AJ591="","",VLOOKUP($AH591,'Modèle Calcul A-R + Sommaire'!$AX$10:$BO$39,18))</f>
        <v/>
      </c>
    </row>
    <row r="592" spans="4:40" x14ac:dyDescent="0.2">
      <c r="D592" s="2" t="str">
        <v>Liberté du choix de l'enfant</v>
      </c>
      <c r="E592" s="5" t="str">
        <v/>
      </c>
      <c r="F592" t="str">
        <v/>
      </c>
      <c r="G592" s="291" t="str">
        <v/>
      </c>
      <c r="H592" s="5" t="str">
        <v/>
      </c>
      <c r="I592" s="5" t="str">
        <v/>
      </c>
      <c r="S592" s="2"/>
      <c r="AH592">
        <v>23</v>
      </c>
      <c r="AI592" s="1693" t="str">
        <f>'Modèle Calcul A-R + Sommaire'!AY32</f>
        <v>Respecter les désirs de l'enfant</v>
      </c>
      <c r="AJ592" s="591" t="str">
        <f>IF('Modèle Calcul A-R + Sommaire'!BC32&lt;&gt;"",'Modèle Calcul A-R + Sommaire'!BB32,"")</f>
        <v/>
      </c>
      <c r="AK592" t="str">
        <f>IF($AJ592="","",VLOOKUP($AH592,'Modèle Calcul A-R + Sommaire'!$AX$10:$BO$39,15))</f>
        <v/>
      </c>
      <c r="AL592" t="str">
        <f>IF($AJ592="","",VLOOKUP($AH592,'Modèle Calcul A-R + Sommaire'!$AX$10:$BO$39,16))</f>
        <v/>
      </c>
      <c r="AM592" t="str">
        <f>IF($AJ592="","",VLOOKUP($AH592,'Modèle Calcul A-R + Sommaire'!$AX$10:$BO$39,17))</f>
        <v/>
      </c>
      <c r="AN592" t="str">
        <f>IF($AJ592="","",VLOOKUP($AH592,'Modèle Calcul A-R + Sommaire'!$AX$10:$BO$39,18))</f>
        <v/>
      </c>
    </row>
    <row r="593" spans="2:40" x14ac:dyDescent="0.2">
      <c r="D593" s="2" t="str">
        <v>Maturité de l'enfant de choisir</v>
      </c>
      <c r="E593" s="5" t="str">
        <v/>
      </c>
      <c r="F593" t="str">
        <v/>
      </c>
      <c r="G593" s="291" t="str">
        <v/>
      </c>
      <c r="H593" s="5" t="str">
        <v/>
      </c>
      <c r="I593" s="5" t="str">
        <v/>
      </c>
      <c r="S593" s="2"/>
      <c r="AH593">
        <v>24</v>
      </c>
      <c r="AI593" s="1693" t="str">
        <f>'Modèle Calcul A-R + Sommaire'!AY33</f>
        <v>Demande / force l'enfant à choisir</v>
      </c>
      <c r="AJ593" s="591" t="str">
        <f>IF('Modèle Calcul A-R + Sommaire'!BC33&lt;&gt;"",'Modèle Calcul A-R + Sommaire'!BB33,"")</f>
        <v/>
      </c>
      <c r="AK593" t="str">
        <f>IF($AJ593="","",VLOOKUP($AH593,'Modèle Calcul A-R + Sommaire'!$AX$10:$BO$39,15))</f>
        <v/>
      </c>
      <c r="AL593" t="str">
        <f>IF($AJ593="","",VLOOKUP($AH593,'Modèle Calcul A-R + Sommaire'!$AX$10:$BO$39,16))</f>
        <v/>
      </c>
      <c r="AM593" t="str">
        <f>IF($AJ593="","",VLOOKUP($AH593,'Modèle Calcul A-R + Sommaire'!$AX$10:$BO$39,17))</f>
        <v/>
      </c>
      <c r="AN593" t="str">
        <f>IF($AJ593="","",VLOOKUP($AH593,'Modèle Calcul A-R + Sommaire'!$AX$10:$BO$39,18))</f>
        <v/>
      </c>
    </row>
    <row r="594" spans="2:40" x14ac:dyDescent="0.2">
      <c r="D594" s="2" t="str">
        <v>Respecter les désirs de l'enfant</v>
      </c>
      <c r="E594" s="5" t="str">
        <v/>
      </c>
      <c r="F594" t="str">
        <v/>
      </c>
      <c r="G594" s="5" t="str">
        <v/>
      </c>
      <c r="H594" s="5" t="str">
        <v/>
      </c>
      <c r="I594" s="5" t="str">
        <v/>
      </c>
      <c r="S594" s="2"/>
      <c r="AH594">
        <v>25</v>
      </c>
      <c r="AI594" s="1693" t="str">
        <f>'Modèle Calcul A-R + Sommaire'!AY34</f>
        <v>Transport d'objets d'un domicile à l'autre</v>
      </c>
      <c r="AJ594" s="591">
        <f>IF('Modèle Calcul A-R + Sommaire'!BC34&lt;&gt;"",'Modèle Calcul A-R + Sommaire'!BB34,"")</f>
        <v>26</v>
      </c>
      <c r="AK594" t="str">
        <f>IF($AJ594="","",VLOOKUP($AH594,'Modèle Calcul A-R + Sommaire'!$AX$10:$BO$39,15))</f>
        <v xml:space="preserve">Votre enfant n'est pas libre d'apporter ses vêtements, ses jouets ou autres effets personnels d'une maison à l'autre. </v>
      </c>
      <c r="AL594">
        <f>IF($AJ594="","",VLOOKUP($AH594,'Modèle Calcul A-R + Sommaire'!$AX$10:$BO$39,16))</f>
        <v>0</v>
      </c>
      <c r="AM594">
        <f>IF($AJ594="","",VLOOKUP($AH594,'Modèle Calcul A-R + Sommaire'!$AX$10:$BO$39,17))</f>
        <v>0</v>
      </c>
      <c r="AN594">
        <f>IF($AJ594="","",VLOOKUP($AH594,'Modèle Calcul A-R + Sommaire'!$AX$10:$BO$39,18))</f>
        <v>0</v>
      </c>
    </row>
    <row r="595" spans="2:40" x14ac:dyDescent="0.2">
      <c r="D595" s="2" t="str">
        <v>Demande / force l'enfant à choisir</v>
      </c>
      <c r="E595" s="5" t="str">
        <v/>
      </c>
      <c r="F595" t="str">
        <v/>
      </c>
      <c r="G595" s="5" t="str">
        <v/>
      </c>
      <c r="H595" s="5" t="str">
        <v/>
      </c>
      <c r="I595" s="5" t="str">
        <v/>
      </c>
      <c r="S595" s="2"/>
      <c r="AH595">
        <v>26</v>
      </c>
      <c r="AI595" s="1693" t="str">
        <f>'Modèle Calcul A-R + Sommaire'!AY35</f>
        <v>Sérénité et confidence face à la séparation</v>
      </c>
      <c r="AJ595" s="591" t="str">
        <f>IF('Modèle Calcul A-R + Sommaire'!BC35&lt;&gt;"",'Modèle Calcul A-R + Sommaire'!BB35,"")</f>
        <v/>
      </c>
      <c r="AK595" t="str">
        <f>IF($AJ595="","",VLOOKUP($AH595,'Modèle Calcul A-R + Sommaire'!$AX$10:$BO$39,15))</f>
        <v/>
      </c>
      <c r="AL595" t="str">
        <f>IF($AJ595="","",VLOOKUP($AH595,'Modèle Calcul A-R + Sommaire'!$AX$10:$BO$39,16))</f>
        <v/>
      </c>
      <c r="AM595" t="str">
        <f>IF($AJ595="","",VLOOKUP($AH595,'Modèle Calcul A-R + Sommaire'!$AX$10:$BO$39,17))</f>
        <v/>
      </c>
      <c r="AN595" t="str">
        <f>IF($AJ595="","",VLOOKUP($AH595,'Modèle Calcul A-R + Sommaire'!$AX$10:$BO$39,18))</f>
        <v/>
      </c>
    </row>
    <row r="596" spans="2:40" x14ac:dyDescent="0.2">
      <c r="C596" s="5"/>
      <c r="D596" s="2" t="str">
        <v>Sérénité et confidence face à la séparation</v>
      </c>
      <c r="E596" s="5" t="str">
        <v/>
      </c>
      <c r="F596" t="str">
        <v/>
      </c>
      <c r="G596" s="5" t="str">
        <v/>
      </c>
      <c r="H596" s="5" t="str">
        <v/>
      </c>
      <c r="I596" s="5" t="str">
        <v/>
      </c>
      <c r="S596" s="2"/>
      <c r="AH596">
        <v>27</v>
      </c>
      <c r="AI596" s="1693" t="str">
        <f>'Modèle Calcul A-R + Sommaire'!AY36</f>
        <v>Défenseur du parent</v>
      </c>
      <c r="AJ596" s="591" t="str">
        <f>IF('Modèle Calcul A-R + Sommaire'!BF36&lt;&gt;"",'Modèle Calcul A-R + Sommaire'!BE36,"")</f>
        <v/>
      </c>
      <c r="AK596" t="str">
        <f>IF($AJ596="","",VLOOKUP($AH596,'Modèle Calcul A-R + Sommaire'!$AX$10:$BO$39,15))</f>
        <v/>
      </c>
      <c r="AL596" t="str">
        <f>IF($AJ596="","",VLOOKUP($AH596,'Modèle Calcul A-R + Sommaire'!$AX$10:$BO$39,16))</f>
        <v/>
      </c>
      <c r="AM596" t="str">
        <f>IF($AJ596="","",VLOOKUP($AH596,'Modèle Calcul A-R + Sommaire'!$AX$10:$BO$39,17))</f>
        <v/>
      </c>
      <c r="AN596" t="str">
        <f>IF($AJ596="","",VLOOKUP($AH596,'Modèle Calcul A-R + Sommaire'!$AX$10:$BO$39,18))</f>
        <v/>
      </c>
    </row>
    <row r="597" spans="2:40" x14ac:dyDescent="0.2">
      <c r="C597" s="5"/>
      <c r="D597" s="2" t="str">
        <v>Défenseur du parent</v>
      </c>
      <c r="E597" s="5" t="str">
        <v/>
      </c>
      <c r="F597" t="str">
        <v/>
      </c>
      <c r="G597" s="5" t="str">
        <v/>
      </c>
      <c r="H597" s="5" t="str">
        <v/>
      </c>
      <c r="I597" s="5" t="str">
        <v/>
      </c>
      <c r="S597" s="2"/>
      <c r="AH597">
        <v>28</v>
      </c>
      <c r="AI597" s="1693" t="str">
        <f>'Modèle Calcul A-R + Sommaire'!AY37</f>
        <v>Manque d'ambivalence</v>
      </c>
      <c r="AJ597" s="591" t="str">
        <f>IF('Modèle Calcul A-R + Sommaire'!BF37&lt;&gt;"",'Modèle Calcul A-R + Sommaire'!BE37,"")</f>
        <v/>
      </c>
      <c r="AL597"/>
    </row>
    <row r="598" spans="2:40" x14ac:dyDescent="0.2">
      <c r="C598" s="5"/>
      <c r="D598" s="2" t="str">
        <v>Manque d'ambivalence</v>
      </c>
      <c r="E598" s="5" t="str">
        <v/>
      </c>
      <c r="F598">
        <v>0</v>
      </c>
      <c r="G598" s="5">
        <v>0</v>
      </c>
      <c r="H598" s="5">
        <v>0</v>
      </c>
      <c r="I598" s="5">
        <v>0</v>
      </c>
      <c r="S598" s="2"/>
      <c r="AH598">
        <v>29</v>
      </c>
      <c r="AI598" s="1693" t="str">
        <f>'Modèle Calcul A-R + Sommaire'!AY38</f>
        <v>Propos d'adulte</v>
      </c>
      <c r="AJ598" s="591" t="str">
        <f>IF('Modèle Calcul A-R + Sommaire'!BF38&lt;&gt;"",'Modèle Calcul A-R + Sommaire'!BE38,"")</f>
        <v/>
      </c>
      <c r="AL598"/>
    </row>
    <row r="599" spans="2:40" x14ac:dyDescent="0.2">
      <c r="C599" s="5"/>
      <c r="D599" s="2" t="str">
        <v>Propos d'adulte</v>
      </c>
      <c r="E599" s="5" t="str">
        <v/>
      </c>
      <c r="F599">
        <v>0</v>
      </c>
      <c r="G599" s="5">
        <v>0</v>
      </c>
      <c r="H599" s="5">
        <v>0</v>
      </c>
      <c r="I599" s="5">
        <v>0</v>
      </c>
      <c r="S599" s="2"/>
      <c r="AH599">
        <v>30</v>
      </c>
      <c r="AI599" s="1693" t="str">
        <f>'Modèle Calcul A-R + Sommaire'!AY39</f>
        <v>Changement des ses valeurs</v>
      </c>
      <c r="AJ599" s="591" t="str">
        <f>IF('Modèle Calcul A-R + Sommaire'!BF39&lt;&gt;"",'Modèle Calcul A-R + Sommaire'!BE39,"")</f>
        <v/>
      </c>
      <c r="AL599"/>
    </row>
    <row r="600" spans="2:40" x14ac:dyDescent="0.2">
      <c r="C600" s="5"/>
      <c r="D600" s="2" t="str">
        <v>Changement des ses valeurs</v>
      </c>
      <c r="E600" s="5" t="str">
        <v/>
      </c>
      <c r="F600">
        <v>0</v>
      </c>
      <c r="G600" s="5">
        <v>0</v>
      </c>
      <c r="H600" s="5">
        <v>0</v>
      </c>
      <c r="I600" s="5">
        <v>0</v>
      </c>
      <c r="S600" s="2"/>
      <c r="AI600" s="291"/>
      <c r="AJ600" s="5"/>
      <c r="AL600"/>
    </row>
    <row r="601" spans="2:40" x14ac:dyDescent="0.2">
      <c r="C601" s="5"/>
      <c r="D601" s="2"/>
      <c r="S601" s="2"/>
      <c r="AI601" s="291"/>
      <c r="AJ601" s="90">
        <f>'Modèle Calcul A-R + Sommaire'!AY41</f>
        <v>16.466666666666665</v>
      </c>
      <c r="AL601"/>
    </row>
    <row r="602" spans="2:40" ht="34" customHeight="1" x14ac:dyDescent="0.3">
      <c r="C602" s="2525" t="s">
        <v>2081</v>
      </c>
      <c r="D602" s="2525"/>
      <c r="E602" s="2525"/>
      <c r="L602" s="732"/>
      <c r="M602" s="732" t="s">
        <v>2209</v>
      </c>
      <c r="N602" s="36"/>
      <c r="AK602" t="str">
        <f>IF($AJ597="","",VLOOKUP($AH597,'Modèle Calcul A-R + Sommaire'!$AX$10:$BO$39,15))</f>
        <v/>
      </c>
      <c r="AL602" t="str">
        <f>IF($AJ597="","",VLOOKUP($AH597,'Modèle Calcul A-R + Sommaire'!$AX$10:$BO$39,16))</f>
        <v/>
      </c>
      <c r="AM602" t="str">
        <f>IF($AJ597="","",VLOOKUP($AH597,'Modèle Calcul A-R + Sommaire'!$AX$10:$BO$39,17))</f>
        <v/>
      </c>
      <c r="AN602" t="str">
        <f>IF($AJ597="","",VLOOKUP($AH597,'Modèle Calcul A-R + Sommaire'!$AX$10:$BO$39,18))</f>
        <v/>
      </c>
    </row>
    <row r="603" spans="2:40" x14ac:dyDescent="0.2">
      <c r="L603" s="5" t="s">
        <v>2210</v>
      </c>
      <c r="AK603" t="str">
        <f>IF($AJ598="","",VLOOKUP($AH598,'Modèle Calcul A-R + Sommaire'!$AX$10:$BO$39,15))</f>
        <v/>
      </c>
      <c r="AL603" t="str">
        <f>IF($AJ598="","",VLOOKUP($AH598,'Modèle Calcul A-R + Sommaire'!$AX$10:$BO$39,16))</f>
        <v/>
      </c>
      <c r="AM603" t="str">
        <f>IF($AJ598="","",VLOOKUP($AH598,'Modèle Calcul A-R + Sommaire'!$AX$10:$BO$39,17))</f>
        <v/>
      </c>
      <c r="AN603" t="str">
        <f>IF($AJ598="","",VLOOKUP($AH598,'Modèle Calcul A-R + Sommaire'!$AX$10:$BO$39,18))</f>
        <v/>
      </c>
    </row>
    <row r="604" spans="2:40" ht="21" x14ac:dyDescent="0.25">
      <c r="B604" s="2290" t="s">
        <v>1658</v>
      </c>
      <c r="F604" s="1694" t="s">
        <v>1659</v>
      </c>
      <c r="L604" s="2282"/>
      <c r="AK604" t="str">
        <f>IF($AJ599="","",VLOOKUP($AH599,'Modèle Calcul A-R + Sommaire'!$AX$10:$BO$39,15))</f>
        <v/>
      </c>
      <c r="AL604" t="str">
        <f>IF($AJ599="","",VLOOKUP($AH599,'Modèle Calcul A-R + Sommaire'!$AX$10:$BO$39,16))</f>
        <v/>
      </c>
      <c r="AM604" t="str">
        <f>IF($AJ599="","",VLOOKUP($AH599,'Modèle Calcul A-R + Sommaire'!$AX$10:$BO$39,17))</f>
        <v/>
      </c>
      <c r="AN604" t="str">
        <f>IF($AJ599="","",VLOOKUP($AH599,'Modèle Calcul A-R + Sommaire'!$AX$10:$BO$39,18))</f>
        <v/>
      </c>
    </row>
    <row r="605" spans="2:40" ht="19" x14ac:dyDescent="0.25">
      <c r="B605" s="1758"/>
      <c r="F605" s="1775" t="s">
        <v>1655</v>
      </c>
    </row>
    <row r="606" spans="2:40" ht="19" x14ac:dyDescent="0.25">
      <c r="B606" s="1758"/>
      <c r="F606" s="1694"/>
    </row>
    <row r="607" spans="2:40" ht="19" x14ac:dyDescent="0.25">
      <c r="B607" s="1758"/>
      <c r="E607"/>
      <c r="G607" s="1772"/>
      <c r="H607" s="1772"/>
      <c r="I607" s="5" t="s">
        <v>1674</v>
      </c>
      <c r="J607" s="1772"/>
    </row>
    <row r="608" spans="2:40" ht="26" customHeight="1" x14ac:dyDescent="0.2">
      <c r="G608" s="291"/>
    </row>
    <row r="609" spans="2:18" ht="27" customHeight="1" x14ac:dyDescent="0.2">
      <c r="G609" s="291"/>
    </row>
    <row r="610" spans="2:18" ht="24" customHeight="1" x14ac:dyDescent="0.2">
      <c r="C610" s="5"/>
      <c r="D610" s="1264" t="s">
        <v>258</v>
      </c>
      <c r="E610" s="1264" t="s">
        <v>672</v>
      </c>
      <c r="F610" s="1264" t="s">
        <v>1530</v>
      </c>
      <c r="G610"/>
      <c r="H610"/>
    </row>
    <row r="611" spans="2:18" ht="24" customHeight="1" x14ac:dyDescent="0.2">
      <c r="C611" s="2" t="s">
        <v>1525</v>
      </c>
      <c r="D611" s="1685">
        <f>Diff!J63</f>
        <v>2</v>
      </c>
      <c r="E611" s="1685">
        <f>Diff!K63</f>
        <v>-8</v>
      </c>
      <c r="F611" s="1693" t="str">
        <f>Diff!AJ54</f>
        <v>Dégradation importante</v>
      </c>
      <c r="G611"/>
      <c r="H611"/>
    </row>
    <row r="612" spans="2:18" ht="24" customHeight="1" x14ac:dyDescent="0.2">
      <c r="C612" s="2" t="s">
        <v>1527</v>
      </c>
      <c r="D612" s="1685">
        <f>Diff!J40</f>
        <v>6</v>
      </c>
      <c r="E612" s="1685">
        <f>Diff!AI56</f>
        <v>1</v>
      </c>
      <c r="F612" s="1693" t="str">
        <f>Diff!AJ56</f>
        <v>Aucun ou peu de changement observé</v>
      </c>
      <c r="G612"/>
      <c r="H612"/>
    </row>
    <row r="613" spans="2:18" ht="24" customHeight="1" x14ac:dyDescent="0.2">
      <c r="C613" s="2" t="s">
        <v>1526</v>
      </c>
      <c r="D613" s="1685">
        <f>Diff!J19</f>
        <v>10</v>
      </c>
      <c r="E613" s="1685">
        <f>Diff!K19</f>
        <v>-1</v>
      </c>
      <c r="F613" s="1693" t="str">
        <f>Diff!AJ57</f>
        <v>Aucun ou peu de changement observé</v>
      </c>
      <c r="G613"/>
      <c r="H613"/>
    </row>
    <row r="614" spans="2:18" ht="24" customHeight="1" x14ac:dyDescent="0.2">
      <c r="C614" s="2" t="s">
        <v>1528</v>
      </c>
      <c r="D614" s="1685">
        <f>Diff!J25</f>
        <v>0</v>
      </c>
      <c r="E614" s="1685" t="str">
        <f>Diff!K25</f>
        <v>Ne peut statuer</v>
      </c>
      <c r="F614" s="1693" t="str">
        <f>Diff!AJ58</f>
        <v>Il n'est pas possible de statuer puisque l'historique est absent</v>
      </c>
      <c r="G614"/>
      <c r="H614"/>
    </row>
    <row r="615" spans="2:18" ht="24" customHeight="1" x14ac:dyDescent="0.2">
      <c r="G615" s="291"/>
    </row>
    <row r="616" spans="2:18" ht="24" customHeight="1" x14ac:dyDescent="0.2">
      <c r="G616" s="291"/>
    </row>
    <row r="617" spans="2:18" ht="24" customHeight="1" x14ac:dyDescent="0.2">
      <c r="G617" s="291"/>
    </row>
    <row r="618" spans="2:18" ht="24" customHeight="1" x14ac:dyDescent="0.2">
      <c r="G618" s="291"/>
    </row>
    <row r="619" spans="2:18" ht="24" customHeight="1" x14ac:dyDescent="0.2">
      <c r="G619" s="291"/>
      <c r="H619" s="1777" t="s">
        <v>1677</v>
      </c>
    </row>
    <row r="620" spans="2:18" x14ac:dyDescent="0.2">
      <c r="C620" s="291"/>
      <c r="D620" s="2"/>
      <c r="E620" s="2"/>
      <c r="F620" s="5"/>
      <c r="H620"/>
      <c r="I620"/>
    </row>
    <row r="621" spans="2:18" x14ac:dyDescent="0.2">
      <c r="C621" s="291"/>
      <c r="D621" s="2"/>
      <c r="E621" s="2"/>
      <c r="F621" s="5"/>
      <c r="H621"/>
      <c r="I621"/>
    </row>
    <row r="622" spans="2:18" ht="19" x14ac:dyDescent="0.25">
      <c r="C622" s="291"/>
      <c r="D622" s="2288" t="s">
        <v>2105</v>
      </c>
      <c r="E622" s="80" t="str">
        <f>Diff!D2</f>
        <v>Ce baromètre révèle les changements relationnels de l'enfant et avec les membres de la famille depuis la séparation.</v>
      </c>
      <c r="F622" s="5"/>
      <c r="H622"/>
      <c r="I622"/>
    </row>
    <row r="623" spans="2:18" x14ac:dyDescent="0.2">
      <c r="C623" s="291"/>
      <c r="D623" s="2"/>
      <c r="E623" s="2"/>
      <c r="F623" s="5"/>
      <c r="H623"/>
      <c r="I623"/>
    </row>
    <row r="624" spans="2:18" ht="36" customHeight="1" x14ac:dyDescent="0.3">
      <c r="B624" s="288" t="s">
        <v>1688</v>
      </c>
      <c r="G624" s="291"/>
      <c r="M624" s="3"/>
      <c r="N624" s="3"/>
      <c r="O624" s="3"/>
      <c r="P624" s="3"/>
      <c r="Q624" s="3"/>
      <c r="R624" s="3"/>
    </row>
    <row r="625" spans="2:18" ht="24" x14ac:dyDescent="0.3">
      <c r="B625" s="288"/>
      <c r="G625" s="291"/>
      <c r="M625" s="3"/>
      <c r="N625" s="3"/>
      <c r="O625" s="3"/>
      <c r="P625" s="3"/>
      <c r="Q625" s="3"/>
      <c r="R625" s="3"/>
    </row>
    <row r="626" spans="2:18" ht="19" x14ac:dyDescent="0.25">
      <c r="B626" s="1758" t="s">
        <v>1657</v>
      </c>
      <c r="C626" s="5"/>
      <c r="E626"/>
      <c r="F626" s="1694"/>
      <c r="G626" s="1694"/>
    </row>
    <row r="627" spans="2:18" x14ac:dyDescent="0.2">
      <c r="B627" s="1764"/>
      <c r="C627" s="5"/>
      <c r="E627"/>
      <c r="F627" s="1694" t="s">
        <v>1675</v>
      </c>
      <c r="G627" s="1694"/>
    </row>
    <row r="628" spans="2:18" ht="33" customHeight="1" x14ac:dyDescent="0.2">
      <c r="B628" s="5"/>
      <c r="C628" s="736" t="s">
        <v>1532</v>
      </c>
      <c r="D628" s="1264" t="s">
        <v>672</v>
      </c>
      <c r="E628" s="1264"/>
      <c r="F628" s="82" t="s">
        <v>1113</v>
      </c>
      <c r="G628" s="1694"/>
      <c r="L628" s="291" t="s">
        <v>2112</v>
      </c>
    </row>
    <row r="629" spans="2:18" ht="20" customHeight="1" x14ac:dyDescent="0.2">
      <c r="B629" s="2" t="str">
        <f>'Santé et Attitude de l''enfant'!C14</f>
        <v>insomnie</v>
      </c>
      <c r="C629" s="90">
        <f>'Santé et Attitude de l''enfant'!D14</f>
        <v>4</v>
      </c>
      <c r="D629" s="90">
        <f>'Santé et Attitude de l''enfant'!F14</f>
        <v>0</v>
      </c>
      <c r="E629" s="1781">
        <v>0</v>
      </c>
      <c r="F629" t="s">
        <v>434</v>
      </c>
      <c r="G629" s="1694"/>
    </row>
    <row r="630" spans="2:18" ht="20" customHeight="1" x14ac:dyDescent="0.25">
      <c r="B630" s="2" t="str">
        <f>'Santé et Attitude de l''enfant'!C15</f>
        <v>anxiété</v>
      </c>
      <c r="C630" s="90">
        <f>'Santé et Attitude de l''enfant'!D15</f>
        <v>4</v>
      </c>
      <c r="D630" s="90">
        <f>'Santé et Attitude de l''enfant'!F15</f>
        <v>0</v>
      </c>
      <c r="E630" s="1781">
        <v>1</v>
      </c>
      <c r="F630" t="s">
        <v>435</v>
      </c>
      <c r="G630" s="291"/>
      <c r="K630" s="2" t="s">
        <v>1678</v>
      </c>
      <c r="L630" s="1780">
        <f>IF(OR('Santé et Attitude de l''enfant'!D21=1,'Santé et Attitude de l''enfant'!E21=1),1,"")</f>
        <v>1</v>
      </c>
    </row>
    <row r="631" spans="2:18" ht="20" customHeight="1" x14ac:dyDescent="0.2">
      <c r="B631" s="2" t="str">
        <f>'Santé et Attitude de l''enfant'!C16</f>
        <v>isolement et difficulté à socialiser</v>
      </c>
      <c r="C631" s="90">
        <f>'Santé et Attitude de l''enfant'!D16</f>
        <v>2</v>
      </c>
      <c r="D631" s="90">
        <f>'Santé et Attitude de l''enfant'!F16</f>
        <v>0</v>
      </c>
      <c r="E631" s="1781">
        <v>2</v>
      </c>
      <c r="F631" t="s">
        <v>1681</v>
      </c>
      <c r="G631" s="291"/>
      <c r="K631" s="2"/>
    </row>
    <row r="632" spans="2:18" ht="20" customHeight="1" x14ac:dyDescent="0.25">
      <c r="B632" s="2" t="str">
        <f>'Santé et Attitude de l''enfant'!C17</f>
        <v>trouble de l'opposition</v>
      </c>
      <c r="C632" s="90">
        <f>'Santé et Attitude de l''enfant'!D17</f>
        <v>0</v>
      </c>
      <c r="D632" s="90">
        <f>'Santé et Attitude de l''enfant'!F17</f>
        <v>0</v>
      </c>
      <c r="E632" s="1781">
        <v>4</v>
      </c>
      <c r="F632" t="s">
        <v>436</v>
      </c>
      <c r="G632" s="1694"/>
      <c r="K632" s="2" t="s">
        <v>1679</v>
      </c>
      <c r="L632" s="1780">
        <f>IF(OR('Santé et Attitude de l''enfant'!D22=1,'Santé et Attitude de l''enfant'!E22=1),1,"")</f>
        <v>1</v>
      </c>
    </row>
    <row r="633" spans="2:18" ht="20" customHeight="1" x14ac:dyDescent="0.2">
      <c r="B633" s="2" t="str">
        <f>'Santé et Attitude de l''enfant'!C18</f>
        <v>trouble alimentaire</v>
      </c>
      <c r="C633" s="90">
        <f>'Santé et Attitude de l''enfant'!D18</f>
        <v>0</v>
      </c>
      <c r="D633" s="90">
        <f>'Santé et Attitude de l''enfant'!F18</f>
        <v>0</v>
      </c>
      <c r="E633" s="1781">
        <v>7</v>
      </c>
      <c r="F633" t="s">
        <v>437</v>
      </c>
      <c r="G633" s="1694"/>
      <c r="K633" s="2"/>
    </row>
    <row r="634" spans="2:18" ht="20" customHeight="1" x14ac:dyDescent="0.25">
      <c r="B634" s="2524" t="s">
        <v>1686</v>
      </c>
      <c r="C634" s="2524"/>
      <c r="D634" s="2524"/>
      <c r="E634" s="1782">
        <v>10</v>
      </c>
      <c r="F634" t="s">
        <v>489</v>
      </c>
      <c r="G634" s="291"/>
      <c r="K634" s="2" t="s">
        <v>1680</v>
      </c>
      <c r="L634" s="1780">
        <f>IF(OR('Santé et Attitude de l''enfant'!D23=1,'Santé et Attitude de l''enfant'!E23=1),1,"")</f>
        <v>1</v>
      </c>
    </row>
    <row r="635" spans="2:18" ht="20" customHeight="1" x14ac:dyDescent="0.2">
      <c r="B635" s="2524"/>
      <c r="C635" s="2524"/>
      <c r="D635" s="2524"/>
      <c r="G635" s="291"/>
    </row>
    <row r="636" spans="2:18" ht="20" customHeight="1" x14ac:dyDescent="0.2">
      <c r="B636" s="2524"/>
      <c r="C636" s="2524"/>
      <c r="D636" s="2524"/>
      <c r="G636" s="291"/>
    </row>
    <row r="637" spans="2:18" x14ac:dyDescent="0.2">
      <c r="B637" s="2524"/>
      <c r="C637" s="2524"/>
      <c r="D637" s="2524"/>
      <c r="G637" s="291"/>
    </row>
    <row r="638" spans="2:18" x14ac:dyDescent="0.2">
      <c r="G638" s="291"/>
    </row>
    <row r="639" spans="2:18" x14ac:dyDescent="0.2">
      <c r="F639" s="2523" t="s">
        <v>1684</v>
      </c>
      <c r="G639" s="2523"/>
      <c r="H639" s="2523"/>
      <c r="I639" s="2523"/>
      <c r="J639" s="2523"/>
      <c r="K639" s="2523"/>
      <c r="L639" s="2523"/>
    </row>
    <row r="640" spans="2:18" ht="30" customHeight="1" x14ac:dyDescent="0.25">
      <c r="D640" s="2288" t="s">
        <v>2105</v>
      </c>
      <c r="E640" s="80" t="str">
        <f>'Santé et Attitude de l''enfant'!C6</f>
        <v>Ce baromètre révèle si la santé psychologique de l'enfant a changé depuis la séparation et si oui, quels en sont les symptômes.</v>
      </c>
      <c r="F640" s="1941"/>
      <c r="G640" s="1941"/>
      <c r="H640" s="1941"/>
      <c r="I640" s="1941"/>
      <c r="J640" s="1941"/>
      <c r="K640" s="1941"/>
      <c r="L640" s="1941"/>
    </row>
    <row r="641" spans="1:27" ht="30" customHeight="1" x14ac:dyDescent="0.2">
      <c r="F641" s="1941"/>
      <c r="G641" s="1941"/>
      <c r="H641" s="1941"/>
      <c r="I641" s="1941"/>
      <c r="J641" s="1941"/>
      <c r="K641" s="1941"/>
      <c r="L641" s="1941"/>
    </row>
    <row r="642" spans="1:27" ht="24" x14ac:dyDescent="0.3">
      <c r="B642" s="288"/>
      <c r="G642" s="291"/>
      <c r="M642" s="3"/>
      <c r="N642" s="3"/>
      <c r="O642" s="3"/>
      <c r="P642" s="3"/>
      <c r="Q642" s="3"/>
      <c r="R642" s="3"/>
      <c r="T642" s="49"/>
      <c r="U642" s="49"/>
      <c r="V642" s="49"/>
      <c r="W642" s="49"/>
      <c r="X642" s="49"/>
      <c r="Y642" s="1942"/>
    </row>
    <row r="643" spans="1:27" ht="38" customHeight="1" x14ac:dyDescent="0.25">
      <c r="B643" s="410" t="s">
        <v>1687</v>
      </c>
      <c r="C643" s="5"/>
      <c r="F643" s="1694"/>
      <c r="P643" s="5"/>
      <c r="Q643" s="5"/>
      <c r="T643" s="1942"/>
      <c r="U643" s="1942"/>
      <c r="V643" s="1942"/>
      <c r="W643" s="1942"/>
      <c r="X643" s="1942"/>
      <c r="Y643" s="1942"/>
    </row>
    <row r="644" spans="1:27" ht="20" customHeight="1" x14ac:dyDescent="0.2">
      <c r="A644" s="2"/>
      <c r="B644" s="2"/>
      <c r="C644" s="8"/>
      <c r="D644"/>
      <c r="E644"/>
      <c r="G644"/>
      <c r="H644"/>
      <c r="I644"/>
      <c r="R644" s="25"/>
      <c r="S644" s="8"/>
      <c r="T644" s="7"/>
      <c r="U644" s="7"/>
      <c r="V644" s="7"/>
      <c r="W644" s="834"/>
      <c r="X644" s="834"/>
      <c r="Y644" s="834"/>
      <c r="Z644" s="834"/>
      <c r="AA644" s="834"/>
    </row>
    <row r="645" spans="1:27" ht="22" customHeight="1" x14ac:dyDescent="0.2">
      <c r="A645" s="2"/>
      <c r="B645" s="2"/>
      <c r="C645" s="8"/>
      <c r="D645"/>
      <c r="E645"/>
      <c r="G645"/>
      <c r="H645"/>
      <c r="I645"/>
      <c r="R645" s="25"/>
      <c r="S645" s="8"/>
      <c r="T645" s="7"/>
      <c r="U645" s="7"/>
      <c r="V645" s="7"/>
      <c r="W645" s="834"/>
      <c r="X645" s="834"/>
      <c r="Y645" s="834"/>
    </row>
    <row r="646" spans="1:27" ht="22" customHeight="1" x14ac:dyDescent="0.2">
      <c r="A646" s="2"/>
      <c r="B646" s="2"/>
      <c r="C646" s="8"/>
      <c r="D646"/>
      <c r="E646" s="2" t="s">
        <v>2140</v>
      </c>
      <c r="G646"/>
      <c r="I646" s="2" t="s">
        <v>2141</v>
      </c>
      <c r="R646" s="25"/>
      <c r="S646" s="8"/>
      <c r="T646" s="7"/>
      <c r="U646" s="7"/>
      <c r="V646" s="7"/>
      <c r="W646" s="834"/>
      <c r="X646" s="834"/>
      <c r="Y646" s="834"/>
    </row>
    <row r="647" spans="1:27" ht="22" customHeight="1" x14ac:dyDescent="0.2">
      <c r="A647" s="2"/>
      <c r="B647" s="2"/>
      <c r="C647" s="8"/>
      <c r="D647"/>
      <c r="E647"/>
      <c r="F647" t="s">
        <v>2142</v>
      </c>
      <c r="G647" t="str">
        <f>'Santé et Attitude de l''enfant'!G31</f>
        <v>Anxieux</v>
      </c>
      <c r="H647"/>
      <c r="I647"/>
      <c r="R647" s="25"/>
      <c r="S647" s="8"/>
      <c r="T647" s="834"/>
      <c r="U647" s="834"/>
      <c r="V647" s="13"/>
      <c r="W647" s="13"/>
      <c r="X647" s="13"/>
      <c r="Y647" s="13"/>
    </row>
    <row r="648" spans="1:27" ht="22" customHeight="1" x14ac:dyDescent="0.2">
      <c r="A648" s="2"/>
      <c r="B648" s="2"/>
      <c r="C648" s="8"/>
      <c r="D648"/>
      <c r="E648"/>
      <c r="G648"/>
      <c r="H648"/>
      <c r="I648"/>
      <c r="R648" s="25"/>
      <c r="S648" s="8"/>
      <c r="T648" s="834"/>
      <c r="U648" s="834"/>
      <c r="V648" s="13"/>
      <c r="W648" s="13"/>
      <c r="X648" s="13"/>
      <c r="Y648" s="13"/>
    </row>
    <row r="649" spans="1:27" ht="22" customHeight="1" x14ac:dyDescent="0.2">
      <c r="A649" s="2"/>
      <c r="B649" s="2"/>
      <c r="C649" s="8"/>
      <c r="D649"/>
      <c r="E649"/>
      <c r="F649" s="2307"/>
      <c r="G649"/>
      <c r="H649"/>
      <c r="I649"/>
      <c r="R649" s="25"/>
      <c r="S649" s="8"/>
      <c r="T649" s="834"/>
      <c r="U649" s="834"/>
      <c r="V649" s="13"/>
      <c r="W649" s="13"/>
      <c r="X649" s="13"/>
      <c r="Y649" s="13"/>
    </row>
    <row r="650" spans="1:27" ht="22" customHeight="1" x14ac:dyDescent="0.2">
      <c r="D650"/>
      <c r="E650"/>
      <c r="F650" t="s">
        <v>2143</v>
      </c>
      <c r="G650" t="str">
        <f>'Santé et Attitude de l''enfant'!G34</f>
        <v>aucun comportement révélé</v>
      </c>
      <c r="H650"/>
      <c r="I650"/>
      <c r="S650" s="7"/>
    </row>
    <row r="651" spans="1:27" ht="22" customHeight="1" x14ac:dyDescent="0.2">
      <c r="D651"/>
      <c r="E651"/>
      <c r="G651"/>
      <c r="H651"/>
      <c r="I651"/>
      <c r="S651" s="7"/>
    </row>
    <row r="652" spans="1:27" ht="22" customHeight="1" x14ac:dyDescent="0.2">
      <c r="D652"/>
      <c r="E652"/>
      <c r="G652"/>
      <c r="H652"/>
      <c r="I652"/>
      <c r="S652" s="7"/>
    </row>
    <row r="653" spans="1:27" ht="22" customHeight="1" x14ac:dyDescent="0.2">
      <c r="D653"/>
      <c r="E653"/>
      <c r="G653"/>
      <c r="H653"/>
      <c r="I653"/>
      <c r="S653" s="7"/>
    </row>
    <row r="654" spans="1:27" ht="22" customHeight="1" x14ac:dyDescent="0.2">
      <c r="D654"/>
      <c r="E654"/>
      <c r="G654"/>
      <c r="H654"/>
      <c r="I654"/>
      <c r="S654" s="7"/>
    </row>
    <row r="655" spans="1:27" ht="22" customHeight="1" x14ac:dyDescent="0.25">
      <c r="D655" s="2288" t="s">
        <v>2105</v>
      </c>
      <c r="E655" s="80" t="str">
        <f>'Santé et Attitude de l''enfant'!C34</f>
        <v>Ce baromètre révèle s'il y a un changement perceptible d’attitude chez l’enfant lors de 
son départ chez l'autre parent et son attitude au retour d’un séjour chez vous.</v>
      </c>
      <c r="G655"/>
      <c r="H655"/>
      <c r="I655"/>
      <c r="S655" s="7"/>
    </row>
    <row r="656" spans="1:27" ht="22" customHeight="1" x14ac:dyDescent="0.2">
      <c r="G656" s="1778"/>
      <c r="S656" s="7"/>
    </row>
    <row r="657" spans="2:10" ht="37" customHeight="1" x14ac:dyDescent="0.2">
      <c r="G657" s="291"/>
    </row>
    <row r="658" spans="2:10" x14ac:dyDescent="0.2">
      <c r="C658" s="291"/>
      <c r="D658" s="2"/>
      <c r="E658" s="2"/>
      <c r="F658" s="5"/>
      <c r="H658"/>
      <c r="I658"/>
    </row>
    <row r="659" spans="2:10" x14ac:dyDescent="0.2">
      <c r="C659" s="291"/>
      <c r="D659" s="2"/>
      <c r="E659" s="2"/>
      <c r="F659" s="5"/>
      <c r="H659"/>
      <c r="I659"/>
    </row>
    <row r="660" spans="2:10" x14ac:dyDescent="0.2">
      <c r="G660" s="1694"/>
    </row>
    <row r="661" spans="2:10" ht="27" customHeight="1" x14ac:dyDescent="0.2">
      <c r="E661" t="s">
        <v>1665</v>
      </c>
      <c r="G661" s="1694"/>
    </row>
    <row r="662" spans="2:10" ht="19" x14ac:dyDescent="0.25">
      <c r="B662" s="410" t="s">
        <v>1634</v>
      </c>
      <c r="F662" s="1694" t="s">
        <v>1667</v>
      </c>
    </row>
    <row r="663" spans="2:10" x14ac:dyDescent="0.2">
      <c r="B663" s="1759"/>
      <c r="G663" s="1694"/>
    </row>
    <row r="664" spans="2:10" x14ac:dyDescent="0.2">
      <c r="B664" s="1759"/>
      <c r="E664" s="1772"/>
      <c r="F664" s="1773" t="s">
        <v>1668</v>
      </c>
      <c r="G664" s="1774"/>
      <c r="H664" s="1772"/>
      <c r="I664" s="1772"/>
    </row>
    <row r="666" spans="2:10" x14ac:dyDescent="0.2">
      <c r="C666" s="5"/>
      <c r="D666" s="1765"/>
      <c r="F666" s="5" t="s">
        <v>1670</v>
      </c>
      <c r="J666" s="5" t="s">
        <v>1669</v>
      </c>
    </row>
    <row r="667" spans="2:10" ht="22" customHeight="1" x14ac:dyDescent="0.2">
      <c r="C667" s="1769"/>
      <c r="D667" s="591" t="s">
        <v>1671</v>
      </c>
      <c r="F667" t="s">
        <v>2160</v>
      </c>
      <c r="G667"/>
      <c r="H667"/>
      <c r="I667"/>
      <c r="J667"/>
    </row>
    <row r="668" spans="2:10" ht="21" customHeight="1" x14ac:dyDescent="0.2">
      <c r="B668" t="s">
        <v>1670</v>
      </c>
      <c r="C668" s="1770" t="s">
        <v>1012</v>
      </c>
      <c r="D668" s="2316">
        <f>'Analyse Catégories_CEV'!B11</f>
        <v>0.550561797752809</v>
      </c>
      <c r="G668" s="1694"/>
    </row>
    <row r="669" spans="2:10" ht="21" customHeight="1" x14ac:dyDescent="0.2">
      <c r="C669" s="1770" t="s">
        <v>1534</v>
      </c>
      <c r="D669" s="2316">
        <f>'Analyse Catégories_CEV'!B12</f>
        <v>0.27768860353130015</v>
      </c>
      <c r="G669" s="291"/>
    </row>
    <row r="670" spans="2:10" ht="21" customHeight="1" x14ac:dyDescent="0.2">
      <c r="C670" s="1770" t="s">
        <v>1014</v>
      </c>
      <c r="D670" s="2316">
        <f>'Analyse Catégories_CEV'!B13</f>
        <v>0.17174959871589085</v>
      </c>
      <c r="G670" s="291"/>
    </row>
    <row r="671" spans="2:10" ht="21" customHeight="1" x14ac:dyDescent="0.2">
      <c r="C671" s="291"/>
      <c r="G671" s="291"/>
    </row>
    <row r="672" spans="2:10" ht="21" customHeight="1" x14ac:dyDescent="0.2">
      <c r="C672" s="291"/>
      <c r="G672" s="291"/>
    </row>
    <row r="673" spans="2:10" ht="21" customHeight="1" x14ac:dyDescent="0.2">
      <c r="C673" s="5"/>
      <c r="G673" s="291"/>
    </row>
    <row r="674" spans="2:10" ht="21" customHeight="1" x14ac:dyDescent="0.2">
      <c r="B674" t="s">
        <v>1669</v>
      </c>
      <c r="C674" s="1769"/>
      <c r="D674" s="591" t="s">
        <v>1671</v>
      </c>
      <c r="G674" s="291"/>
    </row>
    <row r="675" spans="2:10" ht="21" customHeight="1" x14ac:dyDescent="0.2">
      <c r="C675" s="1770" t="s">
        <v>1012</v>
      </c>
      <c r="D675" s="2316">
        <f>'Analyse Catégories_CEV'!C11</f>
        <v>0.5267857142857143</v>
      </c>
      <c r="G675" s="291"/>
    </row>
    <row r="676" spans="2:10" ht="21" customHeight="1" x14ac:dyDescent="0.2">
      <c r="C676" s="1770" t="s">
        <v>1534</v>
      </c>
      <c r="D676" s="2316">
        <f>'Analyse Catégories_CEV'!C12</f>
        <v>0.4107142857142857</v>
      </c>
      <c r="G676" s="291"/>
    </row>
    <row r="677" spans="2:10" ht="21" customHeight="1" x14ac:dyDescent="0.2">
      <c r="C677" s="1770" t="s">
        <v>1014</v>
      </c>
      <c r="D677" s="2316">
        <f>'Analyse Catégories_CEV'!C13</f>
        <v>6.25E-2</v>
      </c>
      <c r="G677" s="291"/>
    </row>
    <row r="678" spans="2:10" x14ac:dyDescent="0.2">
      <c r="G678" s="291"/>
    </row>
    <row r="682" spans="2:10" ht="51" customHeight="1" x14ac:dyDescent="0.25">
      <c r="D682" s="2288" t="s">
        <v>2105</v>
      </c>
      <c r="E682" s="2539" t="str">
        <f>'Analyse Catégories_CEV'!C6</f>
        <v>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v>
      </c>
      <c r="F682" s="2539"/>
      <c r="G682" s="2539"/>
      <c r="H682" s="2539"/>
      <c r="I682" s="2539"/>
      <c r="J682" s="2539"/>
    </row>
    <row r="686" spans="2:10" x14ac:dyDescent="0.2">
      <c r="D686" s="2"/>
      <c r="F686" s="5"/>
      <c r="H686"/>
      <c r="I686"/>
    </row>
    <row r="696" spans="7:7" x14ac:dyDescent="0.2">
      <c r="G696" s="1694"/>
    </row>
  </sheetData>
  <mergeCells count="50">
    <mergeCell ref="E682:J682"/>
    <mergeCell ref="A434:A437"/>
    <mergeCell ref="H473:M473"/>
    <mergeCell ref="F538:K538"/>
    <mergeCell ref="A540:A543"/>
    <mergeCell ref="C485:C487"/>
    <mergeCell ref="C489:C492"/>
    <mergeCell ref="C493:C496"/>
    <mergeCell ref="C497:C500"/>
    <mergeCell ref="C501:C504"/>
    <mergeCell ref="C509:C513"/>
    <mergeCell ref="C515:L515"/>
    <mergeCell ref="A545:A546"/>
    <mergeCell ref="F549:J549"/>
    <mergeCell ref="H448:N448"/>
    <mergeCell ref="H463:M463"/>
    <mergeCell ref="A450:A453"/>
    <mergeCell ref="A455:A462"/>
    <mergeCell ref="A464:A469"/>
    <mergeCell ref="A519:A522"/>
    <mergeCell ref="A475:A478"/>
    <mergeCell ref="T483:X483"/>
    <mergeCell ref="AA519:AE519"/>
    <mergeCell ref="U542:Y542"/>
    <mergeCell ref="AA542:AE542"/>
    <mergeCell ref="T552:X552"/>
    <mergeCell ref="U519:Y519"/>
    <mergeCell ref="O416:AD416"/>
    <mergeCell ref="T423:X423"/>
    <mergeCell ref="Z423:AD423"/>
    <mergeCell ref="P452:R453"/>
    <mergeCell ref="U453:U454"/>
    <mergeCell ref="U452:V452"/>
    <mergeCell ref="V453:V454"/>
    <mergeCell ref="K417:Q417"/>
    <mergeCell ref="U435:Y435"/>
    <mergeCell ref="AA435:AE435"/>
    <mergeCell ref="Z452:AA452"/>
    <mergeCell ref="AB452:AC452"/>
    <mergeCell ref="Z451:AE451"/>
    <mergeCell ref="AD452:AE452"/>
    <mergeCell ref="F639:L639"/>
    <mergeCell ref="B634:D637"/>
    <mergeCell ref="C602:E602"/>
    <mergeCell ref="H3:M3"/>
    <mergeCell ref="B436:C436"/>
    <mergeCell ref="B417:H417"/>
    <mergeCell ref="E423:G423"/>
    <mergeCell ref="D557:I557"/>
    <mergeCell ref="D542:I542"/>
  </mergeCells>
  <phoneticPr fontId="11" type="noConversion"/>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3"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C644:C646</xm:sqref>
        </x14:conditionalFormatting>
        <x14:conditionalFormatting xmlns:xm="http://schemas.microsoft.com/office/excel/2006/main">
          <x14:cfRule type="iconSet" priority="17"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C647:C649</xm:sqref>
        </x14:conditionalFormatting>
        <x14:conditionalFormatting xmlns:xm="http://schemas.microsoft.com/office/excel/2006/main">
          <x14:cfRule type="iconSet" priority="6"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7"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L630</xm:sqref>
        </x14:conditionalFormatting>
        <x14:conditionalFormatting xmlns:xm="http://schemas.microsoft.com/office/excel/2006/main">
          <x14:cfRule type="iconSet" priority="39" id="{39803D71-52BC-7846-970B-431E37D939D0}">
            <x14:iconSet iconSet="3Flags" custom="1">
              <x14:cfvo type="percent">
                <xm:f>0</xm:f>
              </x14:cfvo>
              <x14:cfvo type="num">
                <xm:f>0</xm:f>
              </x14:cfvo>
              <x14:cfvo type="num">
                <xm:f>$R$12</xm:f>
              </x14:cfvo>
              <x14:cfIcon iconSet="3Flags" iconId="2"/>
              <x14:cfIcon iconSet="3Flags" iconId="2"/>
              <x14:cfIcon iconSet="3Flags" iconId="0"/>
            </x14:iconSet>
          </x14:cfRule>
          <xm:sqref>S430:S432 S449</xm:sqref>
        </x14:conditionalFormatting>
        <x14:conditionalFormatting xmlns:xm="http://schemas.microsoft.com/office/excel/2006/main">
          <x14:cfRule type="iconSet" priority="3" id="{25206CFE-1672-9F41-B73A-F4A3028D6780}">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4" id="{465D37F4-A825-D84E-A8B6-B499611E1B47}">
            <x14:iconSet iconSet="3Flags" custom="1">
              <x14:cfvo type="percent">
                <xm:f>0</xm:f>
              </x14:cfvo>
              <x14:cfvo type="num">
                <xm:f>0</xm:f>
              </x14:cfvo>
              <x14:cfvo type="num">
                <xm:f>0</xm:f>
              </x14:cfvo>
              <x14:cfIcon iconSet="NoIcons" iconId="0"/>
              <x14:cfIcon iconSet="NoIcons" iconId="0"/>
              <x14:cfIcon iconSet="3Flags" iconId="0"/>
            </x14:iconSet>
          </x14:cfRule>
          <xm:sqref>L632</xm:sqref>
        </x14:conditionalFormatting>
        <x14:conditionalFormatting xmlns:xm="http://schemas.microsoft.com/office/excel/2006/main">
          <x14:cfRule type="iconSet" priority="1" id="{1BE21E85-E987-BE40-A942-8D0AF5CCDF2E}">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43F58DA0-9AC9-394E-9217-36574019C63E}">
            <x14:iconSet iconSet="3Flags" custom="1">
              <x14:cfvo type="percent">
                <xm:f>0</xm:f>
              </x14:cfvo>
              <x14:cfvo type="num">
                <xm:f>0</xm:f>
              </x14:cfvo>
              <x14:cfvo type="num">
                <xm:f>0</xm:f>
              </x14:cfvo>
              <x14:cfIcon iconSet="NoIcons" iconId="0"/>
              <x14:cfIcon iconSet="NoIcons" iconId="0"/>
              <x14:cfIcon iconSet="3Flags" iconId="0"/>
            </x14:iconSet>
          </x14:cfRule>
          <xm:sqref>L634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801A-F3CD-AB43-9323-EE0C569778ED}">
  <dimension ref="A1:F407"/>
  <sheetViews>
    <sheetView topLeftCell="A59" zoomScale="144" zoomScaleNormal="144" workbookViewId="0">
      <selection activeCell="B361" sqref="B361"/>
    </sheetView>
  </sheetViews>
  <sheetFormatPr baseColWidth="10" defaultRowHeight="16" x14ac:dyDescent="0.2"/>
  <cols>
    <col min="1" max="1" width="36.1640625" customWidth="1"/>
    <col min="2" max="2" width="104.5" style="13" customWidth="1"/>
    <col min="3" max="3" width="43" customWidth="1"/>
  </cols>
  <sheetData>
    <row r="1" spans="1:3" x14ac:dyDescent="0.2">
      <c r="A1" t="s">
        <v>2218</v>
      </c>
    </row>
    <row r="3" spans="1:3" ht="22" x14ac:dyDescent="0.25">
      <c r="B3" s="2438" t="s">
        <v>2219</v>
      </c>
    </row>
    <row r="4" spans="1:3" ht="23" customHeight="1" x14ac:dyDescent="0.25">
      <c r="A4" s="410"/>
      <c r="C4" s="2"/>
    </row>
    <row r="5" spans="1:3" ht="44" customHeight="1" x14ac:dyDescent="0.25">
      <c r="A5" s="2400" t="s">
        <v>2258</v>
      </c>
      <c r="B5" s="2250" t="str">
        <f>'Contexte | CSS'!D1</f>
        <v>Votre contexte familial présente-t-il un risque de conflit parental ?</v>
      </c>
      <c r="C5" s="2"/>
    </row>
    <row r="6" spans="1:3" ht="117" customHeight="1" x14ac:dyDescent="0.2">
      <c r="C6" s="2"/>
    </row>
    <row r="7" spans="1:3" ht="22" customHeight="1" x14ac:dyDescent="0.2">
      <c r="C7" s="2"/>
    </row>
    <row r="8" spans="1:3" ht="75" customHeight="1" x14ac:dyDescent="0.2">
      <c r="A8" s="2327" t="s">
        <v>2194</v>
      </c>
      <c r="B8" s="834"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C8" s="2"/>
    </row>
    <row r="9" spans="1:3" ht="66" customHeight="1" x14ac:dyDescent="0.2">
      <c r="A9" s="834" t="s">
        <v>2217</v>
      </c>
      <c r="B9" s="834" t="str">
        <f>HLOOKUP(1,'Contexte | CSS'!S10:X41,3)</f>
        <v xml:space="preserve">L’analyse des réponses obtenues aux questionnaires révèle un risque modéré de conflit entre vous et votre coparent. Considérant une séparation relativement récente (inférieure à 24 mois), la difficulté d'adaptation à la nouvelle réalité familiale pour chaque membre de la famille est peut-être à considérer. </v>
      </c>
    </row>
    <row r="10" spans="1:3" ht="26" customHeight="1" x14ac:dyDescent="0.2">
      <c r="A10" s="68" t="s">
        <v>2189</v>
      </c>
      <c r="B10" s="834"/>
    </row>
    <row r="11" spans="1:3" ht="16" customHeight="1" x14ac:dyDescent="0.2">
      <c r="A11" s="88" t="s">
        <v>2232</v>
      </c>
      <c r="B11" s="13" t="str">
        <f>IF('Contexte | CSS'!P20&lt;&gt;"",'Contexte | CSS'!P20,"")</f>
        <v>On décèle un certain climat de tension qui pourrait rendre l'exercice de la coparentalité plus difficile.</v>
      </c>
    </row>
    <row r="12" spans="1:3" ht="27" customHeight="1" x14ac:dyDescent="0.2">
      <c r="A12" s="771" t="s">
        <v>2186</v>
      </c>
      <c r="B12" s="13" t="str">
        <f>IF('Contexte | CSS'!P26&lt;&gt;"",'Contexte | CSS'!P26,"")</f>
        <v/>
      </c>
    </row>
    <row r="13" spans="1:3" ht="32" customHeight="1" x14ac:dyDescent="0.2">
      <c r="A13" s="771" t="s">
        <v>2187</v>
      </c>
      <c r="B13" s="13" t="str">
        <f>IF('Contexte | CSS'!P32&lt;&gt;"",'Contexte | CSS'!P32,"")</f>
        <v xml:space="preserve">L'implication et l'influence du nouveau ou de la nouvelle conjoint·e semblent nourrir certaines tensions et difficultés dans l'exercice de la coparentalité. </v>
      </c>
    </row>
    <row r="14" spans="1:3" ht="86" customHeight="1" x14ac:dyDescent="0.2">
      <c r="A14" s="771" t="s">
        <v>2234</v>
      </c>
      <c r="B14" s="25" t="str">
        <f>IF('Contexte | CSS'!P35&lt;&gt;"",'Contexte | CSS'!P35,"")</f>
        <v>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v>
      </c>
    </row>
    <row r="15" spans="1:3" ht="71" customHeight="1" x14ac:dyDescent="0.2">
      <c r="A15" s="771" t="s">
        <v>2361</v>
      </c>
      <c r="B15" s="25" t="str">
        <f>IF('Contexte | CSS'!P40&lt;&gt;"",'Contexte | CSS'!P40,"")</f>
        <v/>
      </c>
    </row>
    <row r="16" spans="1:3" ht="51" customHeight="1" x14ac:dyDescent="0.3">
      <c r="A16" s="36" t="s">
        <v>2190</v>
      </c>
      <c r="B16" s="13" t="str">
        <f>'Contexte | CSS'!Y12</f>
        <v>Les comportements suivants méritent une attention particulière, car ils sont susceptibles d'affecter le développement et le bien-être psychologique de l'enfant :</v>
      </c>
    </row>
    <row r="17" spans="1:4" ht="23" customHeight="1" x14ac:dyDescent="0.3">
      <c r="A17" s="36"/>
      <c r="B17" s="13" t="s">
        <v>2191</v>
      </c>
    </row>
    <row r="18" spans="1:4" ht="23" customHeight="1" x14ac:dyDescent="0.2">
      <c r="A18" s="45" t="s">
        <v>2216</v>
      </c>
      <c r="B18" s="2439"/>
    </row>
    <row r="19" spans="1:4" ht="120" customHeight="1" x14ac:dyDescent="0.2">
      <c r="A19" s="274" t="s">
        <v>2185</v>
      </c>
      <c r="B19" s="13" t="str">
        <f>IF('Contexte | CSS'!Q20&lt;&gt;"",'Contexte | CSS'!Q20,"")</f>
        <v>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v>
      </c>
      <c r="C19" s="13"/>
      <c r="D19" s="13"/>
    </row>
    <row r="20" spans="1:4" ht="17" customHeight="1" x14ac:dyDescent="0.2">
      <c r="A20" s="2398" t="s">
        <v>2233</v>
      </c>
      <c r="B20" s="13" t="str">
        <f>IF('Contexte | CSS'!Q13&lt;&gt;"",'Contexte | CSS'!Q13,"")</f>
        <v xml:space="preserve"> </v>
      </c>
      <c r="C20" s="13"/>
      <c r="D20" s="13"/>
    </row>
    <row r="21" spans="1:4" ht="17" x14ac:dyDescent="0.2">
      <c r="A21" s="2398" t="s">
        <v>2233</v>
      </c>
      <c r="B21" s="13" t="str">
        <f>IF('Contexte | CSS'!Q14&lt;&gt;"",'Contexte | CSS'!Q14,"")</f>
        <v xml:space="preserve"> </v>
      </c>
      <c r="C21" s="13"/>
      <c r="D21" s="13"/>
    </row>
    <row r="22" spans="1:4" ht="17" x14ac:dyDescent="0.2">
      <c r="A22" s="45" t="s">
        <v>2233</v>
      </c>
      <c r="B22" s="13" t="str">
        <f>IF('Contexte | CSS'!Q15&lt;&gt;"",'Contexte | CSS'!Q15,"")</f>
        <v xml:space="preserve"> </v>
      </c>
      <c r="C22" s="13"/>
      <c r="D22" s="13"/>
    </row>
    <row r="23" spans="1:4" x14ac:dyDescent="0.2">
      <c r="A23" s="45" t="s">
        <v>2233</v>
      </c>
      <c r="B23" s="13">
        <f>IF('Contexte | CSS'!Q16&lt;&gt;"",'Contexte | CSS'!Q16,"")</f>
        <v>0</v>
      </c>
      <c r="C23" s="13"/>
      <c r="D23" s="13"/>
    </row>
    <row r="24" spans="1:4" x14ac:dyDescent="0.2">
      <c r="A24" s="45" t="s">
        <v>2233</v>
      </c>
      <c r="B24" s="13">
        <f>IF('Contexte | CSS'!Q17&lt;&gt;"",'Contexte | CSS'!Q17,"")</f>
        <v>0</v>
      </c>
      <c r="C24" s="13"/>
      <c r="D24" s="13"/>
    </row>
    <row r="25" spans="1:4" ht="34" x14ac:dyDescent="0.2">
      <c r="A25" s="45" t="s">
        <v>2233</v>
      </c>
      <c r="B25" s="13" t="str">
        <f>IF('Contexte | CSS'!Q18&lt;&gt;"",'Contexte | CSS'!Q18,"")</f>
        <v xml:space="preserve">Donner à son enfant la responsabilité d’être le messager entre ses parents peut l’insécuriser, le déstabiliser et forcer un conflit de loyauté car il devient alors un acteur indirect du conflit. </v>
      </c>
    </row>
    <row r="26" spans="1:4" x14ac:dyDescent="0.2">
      <c r="A26" s="45" t="s">
        <v>2233</v>
      </c>
      <c r="B26" s="13">
        <f>IF('Contexte | CSS'!Q19&lt;&gt;"",'Contexte | CSS'!Q19,"")</f>
        <v>0</v>
      </c>
    </row>
    <row r="27" spans="1:4" ht="17" x14ac:dyDescent="0.2">
      <c r="A27" s="45" t="s">
        <v>2186</v>
      </c>
      <c r="B27" s="13" t="str">
        <f>IF('Contexte | CSS'!Q26&lt;&gt;"",'Contexte | CSS'!Q26,"")</f>
        <v/>
      </c>
    </row>
    <row r="28" spans="1:4" ht="17" customHeight="1" x14ac:dyDescent="0.2">
      <c r="A28" s="2398" t="s">
        <v>2252</v>
      </c>
      <c r="B28" s="13" t="str">
        <f>IF('Contexte | CSS'!Q21&lt;&gt;"",'Contexte | CSS'!Q21,"")</f>
        <v xml:space="preserve"> </v>
      </c>
    </row>
    <row r="29" spans="1:4" ht="17" x14ac:dyDescent="0.2">
      <c r="A29" s="2398" t="s">
        <v>2252</v>
      </c>
      <c r="B29" s="13" t="str">
        <f>IF('Contexte | CSS'!Q22&lt;&gt;"",'Contexte | CSS'!Q22,"")</f>
        <v xml:space="preserve"> </v>
      </c>
    </row>
    <row r="30" spans="1:4" ht="17" x14ac:dyDescent="0.2">
      <c r="A30" s="45" t="s">
        <v>2252</v>
      </c>
      <c r="B30" s="13" t="str">
        <f>IF('Contexte | CSS'!Q23&lt;&gt;"",'Contexte | CSS'!Q23,"")</f>
        <v xml:space="preserve"> </v>
      </c>
    </row>
    <row r="31" spans="1:4" ht="17" x14ac:dyDescent="0.2">
      <c r="A31" s="45" t="s">
        <v>2252</v>
      </c>
      <c r="B31" s="13" t="str">
        <f>IF('Contexte | CSS'!Q24&lt;&gt;"",'Contexte | CSS'!Q24,"")</f>
        <v xml:space="preserve"> </v>
      </c>
    </row>
    <row r="32" spans="1:4" ht="17" x14ac:dyDescent="0.2">
      <c r="A32" s="45" t="s">
        <v>2252</v>
      </c>
      <c r="B32" s="13" t="str">
        <f>IF('Contexte | CSS'!Q25&lt;&gt;"",'Contexte | CSS'!Q25,"")</f>
        <v xml:space="preserve"> </v>
      </c>
    </row>
    <row r="33" spans="1:2" x14ac:dyDescent="0.2">
      <c r="A33" s="45" t="s">
        <v>2187</v>
      </c>
      <c r="B33" s="13">
        <f>IF('Contexte | CSS'!Q32&lt;&gt;"",'Contexte | CSS'!Q32,"")</f>
        <v>0</v>
      </c>
    </row>
    <row r="34" spans="1:2" ht="17" x14ac:dyDescent="0.2">
      <c r="A34" s="2393" t="s">
        <v>2253</v>
      </c>
      <c r="B34" s="13">
        <f>IF('Contexte | CSS'!Q28&lt;&gt;"",'Contexte | CSS'!Q28,"")</f>
        <v>0</v>
      </c>
    </row>
    <row r="35" spans="1:2" x14ac:dyDescent="0.2">
      <c r="A35" s="45" t="s">
        <v>2253</v>
      </c>
      <c r="B35" s="13">
        <f>IF('Contexte | CSS'!Q29&lt;&gt;"",'Contexte | CSS'!Q29,"")</f>
        <v>0</v>
      </c>
    </row>
    <row r="36" spans="1:2" ht="17" x14ac:dyDescent="0.2">
      <c r="A36" s="45" t="s">
        <v>2253</v>
      </c>
      <c r="B36" s="13" t="str">
        <f>IF('Contexte | CSS'!Q30&lt;&gt;"",'Contexte | CSS'!Q30,"")</f>
        <v xml:space="preserve"> </v>
      </c>
    </row>
    <row r="37" spans="1:2" ht="17" x14ac:dyDescent="0.2">
      <c r="A37" s="45" t="s">
        <v>2253</v>
      </c>
      <c r="B37" s="13" t="str">
        <f>IF('Contexte | CSS'!Q31&lt;&gt;"",'Contexte | CSS'!Q31,"")</f>
        <v xml:space="preserve"> </v>
      </c>
    </row>
    <row r="38" spans="1:2" ht="34" x14ac:dyDescent="0.2">
      <c r="A38" s="2217" t="s">
        <v>2254</v>
      </c>
      <c r="B38" s="13" t="str">
        <f>IF('Contexte | CSS'!Q33&lt;&gt;"",'Contexte | CSS'!Q33,"")</f>
        <v xml:space="preserve">Appeler le nouveau ou la nouvelle conjoint·e « papa » ou « maman » peut semer de la confusion chez l'enfant ou affecter la valeur symbolique de l’autre parent. </v>
      </c>
    </row>
    <row r="39" spans="1:2" x14ac:dyDescent="0.2">
      <c r="A39" s="45" t="s">
        <v>2255</v>
      </c>
      <c r="B39" s="13">
        <f>IF('Contexte | CSS'!Q34&lt;&gt;"",'Contexte | CSS'!Q34,"")</f>
        <v>0</v>
      </c>
    </row>
    <row r="40" spans="1:2" x14ac:dyDescent="0.2">
      <c r="A40" t="s">
        <v>2256</v>
      </c>
    </row>
    <row r="41" spans="1:2" s="36" customFormat="1" ht="24" x14ac:dyDescent="0.3">
      <c r="A41" s="1233" t="s">
        <v>2216</v>
      </c>
      <c r="B41" s="13" t="s">
        <v>2192</v>
      </c>
    </row>
    <row r="42" spans="1:2" x14ac:dyDescent="0.2">
      <c r="A42" s="1233"/>
      <c r="B42" s="2439"/>
    </row>
    <row r="43" spans="1:2" ht="17" x14ac:dyDescent="0.2">
      <c r="A43" s="2394" t="s">
        <v>2185</v>
      </c>
      <c r="B43" s="13">
        <f>IF('Contexte | CSS'!R20&lt;&gt;"",'Contexte | CSS'!R20,"")</f>
        <v>0</v>
      </c>
    </row>
    <row r="44" spans="1:2" ht="17" x14ac:dyDescent="0.2">
      <c r="A44" s="2397" t="s">
        <v>2233</v>
      </c>
      <c r="B44" s="13" t="str">
        <f>IF('Contexte | CSS'!R13&lt;&gt;"",'Contexte | CSS'!R13,"")</f>
        <v xml:space="preserve"> </v>
      </c>
    </row>
    <row r="45" spans="1:2" ht="17" x14ac:dyDescent="0.2">
      <c r="A45" s="2397" t="s">
        <v>2233</v>
      </c>
      <c r="B45" s="13" t="str">
        <f>IF('Contexte | CSS'!R14&lt;&gt;"",'Contexte | CSS'!R14,"")</f>
        <v xml:space="preserve"> </v>
      </c>
    </row>
    <row r="46" spans="1:2" ht="17" x14ac:dyDescent="0.2">
      <c r="A46" s="2397" t="s">
        <v>2233</v>
      </c>
      <c r="B46" s="13" t="str">
        <f>IF('Contexte | CSS'!R15&lt;&gt;"",'Contexte | CSS'!R15,"")</f>
        <v xml:space="preserve"> </v>
      </c>
    </row>
    <row r="47" spans="1:2" ht="17" x14ac:dyDescent="0.2">
      <c r="A47" s="2397" t="s">
        <v>2233</v>
      </c>
      <c r="B47" s="13">
        <f>IF('Contexte | CSS'!R16&lt;&gt;"",'Contexte | CSS'!R16,"")</f>
        <v>0</v>
      </c>
    </row>
    <row r="48" spans="1:2" ht="17" x14ac:dyDescent="0.2">
      <c r="A48" s="2397" t="s">
        <v>2233</v>
      </c>
      <c r="B48" s="13" t="str">
        <f>IF('Contexte | CSS'!R17&lt;&gt;"",'Contexte | CSS'!R17,"")</f>
        <v xml:space="preserve"> </v>
      </c>
    </row>
    <row r="49" spans="1:2" ht="17" x14ac:dyDescent="0.2">
      <c r="A49" s="2397" t="s">
        <v>2233</v>
      </c>
      <c r="B49" s="13" t="str">
        <f>IF('Contexte | CSS'!R18&lt;&gt;"",'Contexte | CSS'!R18,"")</f>
        <v xml:space="preserve"> </v>
      </c>
    </row>
    <row r="50" spans="1:2" ht="17" x14ac:dyDescent="0.2">
      <c r="A50" s="2397" t="s">
        <v>2233</v>
      </c>
      <c r="B50" s="13">
        <f>IF('Contexte | CSS'!R19&lt;&gt;"",'Contexte | CSS'!R19,"")</f>
        <v>0</v>
      </c>
    </row>
    <row r="51" spans="1:2" ht="17" x14ac:dyDescent="0.2">
      <c r="A51" s="1233" t="s">
        <v>2186</v>
      </c>
      <c r="B51" s="13" t="str">
        <f>IF('Contexte | CSS'!R26&lt;&gt;"",'Contexte | CSS'!R26,"")</f>
        <v/>
      </c>
    </row>
    <row r="52" spans="1:2" ht="17" x14ac:dyDescent="0.2">
      <c r="A52" s="2397" t="s">
        <v>2252</v>
      </c>
      <c r="B52" s="13" t="str">
        <f>IF('Contexte | CSS'!R21&lt;&gt;"",'Contexte | CSS'!R21,"")</f>
        <v xml:space="preserve"> </v>
      </c>
    </row>
    <row r="53" spans="1:2" ht="17" x14ac:dyDescent="0.2">
      <c r="A53" s="2397" t="s">
        <v>2252</v>
      </c>
      <c r="B53" s="13" t="str">
        <f>IF('Contexte | CSS'!R22&lt;&gt;"",'Contexte | CSS'!R22,"")</f>
        <v xml:space="preserve"> </v>
      </c>
    </row>
    <row r="54" spans="1:2" ht="17" x14ac:dyDescent="0.2">
      <c r="A54" s="2397" t="s">
        <v>2252</v>
      </c>
      <c r="B54" s="13" t="str">
        <f>IF('Contexte | CSS'!R23&lt;&gt;"",'Contexte | CSS'!R23,"")</f>
        <v xml:space="preserve"> </v>
      </c>
    </row>
    <row r="55" spans="1:2" ht="17" x14ac:dyDescent="0.2">
      <c r="A55" s="2397" t="s">
        <v>2252</v>
      </c>
      <c r="B55" s="13" t="str">
        <f>IF('Contexte | CSS'!R24&lt;&gt;"",'Contexte | CSS'!R24,"")</f>
        <v xml:space="preserve"> </v>
      </c>
    </row>
    <row r="56" spans="1:2" ht="17" x14ac:dyDescent="0.2">
      <c r="A56" s="2397" t="s">
        <v>2252</v>
      </c>
      <c r="B56" s="13" t="str">
        <f>IF('Contexte | CSS'!R25&lt;&gt;"",'Contexte | CSS'!R25,"")</f>
        <v xml:space="preserve"> </v>
      </c>
    </row>
    <row r="57" spans="1:2" x14ac:dyDescent="0.2">
      <c r="A57" s="1233" t="s">
        <v>2187</v>
      </c>
      <c r="B57" s="13">
        <f>IF('Contexte | CSS'!R32&lt;&gt;"",'Contexte | CSS'!R32,"")</f>
        <v>0</v>
      </c>
    </row>
    <row r="58" spans="1:2" ht="17" x14ac:dyDescent="0.2">
      <c r="A58" s="2397" t="s">
        <v>2253</v>
      </c>
      <c r="B58" s="13">
        <f>IF('Contexte | CSS'!R28&lt;&gt;"",'Contexte | CSS'!R28,"")</f>
        <v>0</v>
      </c>
    </row>
    <row r="59" spans="1:2" ht="17" x14ac:dyDescent="0.2">
      <c r="A59" s="2397" t="s">
        <v>2253</v>
      </c>
      <c r="B59" s="13">
        <f>IF('Contexte | CSS'!R29&lt;&gt;"",'Contexte | CSS'!R29,"")</f>
        <v>0</v>
      </c>
    </row>
    <row r="60" spans="1:2" ht="17" x14ac:dyDescent="0.2">
      <c r="A60" s="2397" t="s">
        <v>2253</v>
      </c>
      <c r="B60" s="13" t="str">
        <f>IF('Contexte | CSS'!R30&lt;&gt;"",'Contexte | CSS'!R30,"")</f>
        <v xml:space="preserve"> </v>
      </c>
    </row>
    <row r="61" spans="1:2" ht="17" x14ac:dyDescent="0.2">
      <c r="A61" s="2397" t="s">
        <v>2253</v>
      </c>
      <c r="B61" s="13" t="str">
        <f>IF('Contexte | CSS'!R31&lt;&gt;"",'Contexte | CSS'!R31,"")</f>
        <v xml:space="preserve"> </v>
      </c>
    </row>
    <row r="62" spans="1:2" x14ac:dyDescent="0.2">
      <c r="A62" s="2395" t="s">
        <v>2254</v>
      </c>
      <c r="B62" s="13">
        <f>IF('Contexte | CSS'!R33&lt;&gt;"",'Contexte | CSS'!R33,"")</f>
        <v>0</v>
      </c>
    </row>
    <row r="63" spans="1:2" ht="17" x14ac:dyDescent="0.2">
      <c r="A63" s="2395" t="s">
        <v>2255</v>
      </c>
      <c r="B63" s="13" t="str">
        <f>IF('Contexte | CSS'!R34&lt;&gt;"",'Contexte | CSS'!R34,"")</f>
        <v>Informer l'enfant des enjeux qui nous opposent à l'autre parent place l'enfant dans un conflit de loyauté.</v>
      </c>
    </row>
    <row r="64" spans="1:2" x14ac:dyDescent="0.2">
      <c r="A64" s="2395" t="s">
        <v>2256</v>
      </c>
    </row>
    <row r="66" spans="1:2" ht="48" customHeight="1" x14ac:dyDescent="0.2">
      <c r="A66" t="s">
        <v>2188</v>
      </c>
      <c r="B66" s="545" t="str">
        <f>HLOOKUP(1,'Contexte | CSS'!S10:X41,32)</f>
        <v>Nous vous invitons à consulter la section coparentalité de l'onglet Ressources afin de connaitre les meilleures pratiques en matière de coparentalité.
= lien actif</v>
      </c>
    </row>
    <row r="67" spans="1:2" ht="15" customHeight="1" x14ac:dyDescent="0.2"/>
    <row r="68" spans="1:2" ht="7" customHeight="1" x14ac:dyDescent="0.2"/>
    <row r="69" spans="1:2" ht="29" customHeight="1" x14ac:dyDescent="0.25">
      <c r="A69" s="2400" t="s">
        <v>2226</v>
      </c>
      <c r="B69" s="2250" t="str">
        <f>'Cpts miroirs des parents'!D5</f>
        <v>Est-ce que les coparents tendent vers une saine coparentalité ?</v>
      </c>
    </row>
    <row r="70" spans="1:2" ht="211" customHeight="1" x14ac:dyDescent="0.2"/>
    <row r="71" spans="1:2" ht="102" x14ac:dyDescent="0.2">
      <c r="A71" s="2327" t="s">
        <v>2194</v>
      </c>
      <c r="B71" s="834"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row>
    <row r="72" spans="1:2" ht="98" customHeight="1" x14ac:dyDescent="0.2">
      <c r="A72" s="25" t="s">
        <v>2217</v>
      </c>
      <c r="B72" s="834" t="str">
        <f>HLOOKUP(1,'Cpts miroirs des parents'!V14:W18,5)</f>
        <v xml:space="preserve">Voici une liste des principaux enjeux et comportements présentant des risques de créer des difficultés dans l'exercice de votre coparentalité et de contribuer au conflit de séparation. 
Les risques de tensions, de malentendus et de problèmes de communication augmentent en situation de coparentalité lorsque l’un et/ou l’autre des coparents : </v>
      </c>
    </row>
    <row r="73" spans="1:2" ht="19" customHeight="1" x14ac:dyDescent="0.2">
      <c r="A73" s="2392" t="s">
        <v>2227</v>
      </c>
      <c r="B73" s="25"/>
    </row>
    <row r="74" spans="1:2" ht="17" x14ac:dyDescent="0.2">
      <c r="A74" s="88" t="s">
        <v>2232</v>
      </c>
      <c r="B74" s="13" t="str">
        <f>IF('Cpts miroirs des parents'!S19&lt;&gt;"",'Cpts miroirs des parents'!S19,"")</f>
        <v/>
      </c>
    </row>
    <row r="75" spans="1:2" ht="17" x14ac:dyDescent="0.2">
      <c r="A75" s="771" t="s">
        <v>2186</v>
      </c>
      <c r="B75" s="13" t="str">
        <f>IF('Cpts miroirs des parents'!S20&lt;&gt;"",'Cpts miroirs des parents'!S20,"")</f>
        <v/>
      </c>
    </row>
    <row r="76" spans="1:2" ht="34" x14ac:dyDescent="0.2">
      <c r="A76" s="771" t="s">
        <v>2187</v>
      </c>
      <c r="B76" s="13" t="str">
        <f>IF('Cpts miroirs des parents'!S21&lt;&gt;"",'Cpts miroirs des parents'!S21,"")</f>
        <v xml:space="preserve">doit marcher sur des œufs en présence de l’autre parent ou doit faire des compromis à sens unique afin d’assurer une bonne entente de garde. </v>
      </c>
    </row>
    <row r="77" spans="1:2" ht="17" x14ac:dyDescent="0.2">
      <c r="A77" s="771" t="s">
        <v>2235</v>
      </c>
      <c r="B77" s="13" t="str">
        <f>IF('Cpts miroirs des parents'!S22&lt;&gt;"",'Cpts miroirs des parents'!S22,"")</f>
        <v xml:space="preserve">ne reconnaît pas ou ne respecte pas la valeur parentale et l’autorité parentale du coparent. </v>
      </c>
    </row>
    <row r="78" spans="1:2" ht="17" x14ac:dyDescent="0.2">
      <c r="A78" s="771" t="s">
        <v>2236</v>
      </c>
      <c r="B78" s="13" t="str">
        <f>IF('Cpts miroirs des parents'!S23&lt;&gt;"",'Cpts miroirs des parents'!S23,"")</f>
        <v/>
      </c>
    </row>
    <row r="79" spans="1:2" ht="17" x14ac:dyDescent="0.2">
      <c r="A79" s="771" t="s">
        <v>2237</v>
      </c>
      <c r="B79" s="13" t="str">
        <f>IF('Cpts miroirs des parents'!S24&lt;&gt;"",'Cpts miroirs des parents'!S24,"")</f>
        <v xml:space="preserve">prend des décisions concernant l’enfant sans consulter l’autre parent. </v>
      </c>
    </row>
    <row r="80" spans="1:2" ht="17" x14ac:dyDescent="0.2">
      <c r="A80" s="771" t="s">
        <v>2238</v>
      </c>
      <c r="B80" s="13" t="str">
        <f>IF('Cpts miroirs des parents'!S25&lt;&gt;"",'Cpts miroirs des parents'!S25,"")</f>
        <v/>
      </c>
    </row>
    <row r="81" spans="1:2" ht="17" x14ac:dyDescent="0.2">
      <c r="A81" s="771" t="s">
        <v>2262</v>
      </c>
      <c r="B81" s="13" t="str">
        <f>IF('Cpts miroirs des parents'!S26&lt;&gt;"",'Cpts miroirs des parents'!S26,"")</f>
        <v/>
      </c>
    </row>
    <row r="82" spans="1:2" ht="41" customHeight="1" x14ac:dyDescent="0.2">
      <c r="A82" s="771" t="s">
        <v>2361</v>
      </c>
      <c r="B82" s="13" t="str">
        <f>IF('Cpts miroirs des parents'!S27&lt;&gt;"",'Cpts miroirs des parents'!S27,"")</f>
        <v/>
      </c>
    </row>
    <row r="83" spans="1:2" ht="24" x14ac:dyDescent="0.3">
      <c r="A83" s="36" t="s">
        <v>2190</v>
      </c>
      <c r="B83" s="13">
        <f>'Cpts miroirs des parents'!X18</f>
        <v>0</v>
      </c>
    </row>
    <row r="84" spans="1:2" ht="17" x14ac:dyDescent="0.2">
      <c r="A84" s="45" t="s">
        <v>2216</v>
      </c>
      <c r="B84" s="13" t="s">
        <v>2191</v>
      </c>
    </row>
    <row r="85" spans="1:2" x14ac:dyDescent="0.2">
      <c r="A85" s="45" t="s">
        <v>2362</v>
      </c>
      <c r="B85" s="13">
        <f>IF('Cpts miroirs des parents'!T27&lt;&gt;"",'Cpts miroirs des parents'!T27,"")</f>
        <v>0</v>
      </c>
    </row>
    <row r="86" spans="1:2" ht="17" x14ac:dyDescent="0.2">
      <c r="A86" s="1233" t="s">
        <v>2216</v>
      </c>
      <c r="B86" s="13" t="s">
        <v>2192</v>
      </c>
    </row>
    <row r="87" spans="1:2" x14ac:dyDescent="0.2">
      <c r="A87" s="1233" t="s">
        <v>2362</v>
      </c>
      <c r="B87" s="13">
        <f>IF('Cpts miroirs des parents'!U27&lt;&gt;"",'Cpts miroirs des parents'!U27,"")</f>
        <v>0</v>
      </c>
    </row>
    <row r="89" spans="1:2" ht="85" x14ac:dyDescent="0.2">
      <c r="A89" t="s">
        <v>2188</v>
      </c>
      <c r="B89" s="13" t="str">
        <f>HLOOKUP(1,'Cpts miroirs des parents'!V14:W28,15)</f>
        <v xml:space="preserve">Nous vous recommandons de consulter la section coparentalité de l'onglet Ressources afin de prendre connaissance de la charte de coparentalité et de connaitre les meilleures pratiques et recommandations en matière de coparentalité. 
Le modèle explicatif des conflits sévères de séparation vous renseignera entre autres sur les facteurs aggravants qui contribuent au conflit de séparation. </v>
      </c>
    </row>
    <row r="91" spans="1:2" ht="28" customHeight="1" x14ac:dyDescent="0.25">
      <c r="A91" s="2400" t="s">
        <v>2229</v>
      </c>
      <c r="B91" s="2250" t="str">
        <f>'Cpts miroirs des parents'!D11</f>
        <v>Est-ce que votre contexte de coparentalité tend à sécuriser ou à insécuriser votre enfant ?</v>
      </c>
    </row>
    <row r="92" spans="1:2" ht="206" customHeight="1" x14ac:dyDescent="0.2"/>
    <row r="93" spans="1:2" s="7" customFormat="1" ht="102" x14ac:dyDescent="0.2">
      <c r="A93" s="2288" t="s">
        <v>2194</v>
      </c>
      <c r="B93" s="834"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row>
    <row r="94" spans="1:2" ht="57" customHeight="1" x14ac:dyDescent="0.2">
      <c r="A94" s="25" t="s">
        <v>2217</v>
      </c>
      <c r="B94" s="25" t="str">
        <f>HLOOKUP(1,'Cpts miroirs des parents'!V30:W31,2)</f>
        <v>Voici une liste des principaux enjeux et comportements présentant des risques de créer un sentiment d’insécurité chez votre enfant, d’induire un conflit de loyauté et de nuire à son développement et à son bien-être psychologique, car votre enfant :</v>
      </c>
    </row>
    <row r="95" spans="1:2" ht="19" customHeight="1" x14ac:dyDescent="0.2">
      <c r="A95" s="2392" t="s">
        <v>2227</v>
      </c>
      <c r="B95" s="25"/>
    </row>
    <row r="96" spans="1:2" ht="17" x14ac:dyDescent="0.2">
      <c r="A96" s="88" t="s">
        <v>2232</v>
      </c>
      <c r="B96" s="13" t="str">
        <f>IF('Cpts miroirs des parents'!S32&lt;&gt;"",'Cpts miroirs des parents'!S32,"")</f>
        <v/>
      </c>
    </row>
    <row r="97" spans="1:2" ht="34" x14ac:dyDescent="0.2">
      <c r="A97" s="771" t="s">
        <v>2186</v>
      </c>
      <c r="B97" s="13" t="str">
        <f>IF('Cpts miroirs des parents'!S33&lt;&gt;"",'Cpts miroirs des parents'!S33,"")</f>
        <v xml:space="preserve">est appelé à tenir le rôle de messager entre ses parents, devenant indirectement responsable des conflits parentaux ou des horaires, activités et rendez-vous qui le concernent. </v>
      </c>
    </row>
    <row r="98" spans="1:2" ht="34" x14ac:dyDescent="0.2">
      <c r="A98" s="771" t="s">
        <v>2187</v>
      </c>
      <c r="B98" s="13" t="str">
        <f>IF('Cpts miroirs des parents'!S34&lt;&gt;"",'Cpts miroirs des parents'!S34,"")</f>
        <v xml:space="preserve">est au courant des échanges texto et/ou courriels entre vous et votre coparent devenant indirectement responsable des enjeux qui vous opposent à l’autre parent. </v>
      </c>
    </row>
    <row r="99" spans="1:2" ht="17" x14ac:dyDescent="0.2">
      <c r="A99" s="771" t="s">
        <v>2235</v>
      </c>
      <c r="B99" s="13" t="str">
        <f>IF('Cpts miroirs des parents'!S35&lt;&gt;"",'Cpts miroirs des parents'!S35,"")</f>
        <v/>
      </c>
    </row>
    <row r="100" spans="1:2" ht="17" x14ac:dyDescent="0.2">
      <c r="A100" s="771" t="s">
        <v>2236</v>
      </c>
      <c r="B100" s="13" t="str">
        <f>IF('Cpts miroirs des parents'!S36&lt;&gt;"",'Cpts miroirs des parents'!S36,"")</f>
        <v/>
      </c>
    </row>
    <row r="101" spans="1:2" ht="17" x14ac:dyDescent="0.2">
      <c r="A101" s="771" t="s">
        <v>2237</v>
      </c>
      <c r="B101" s="13" t="str">
        <f>IF('Cpts miroirs des parents'!S37&lt;&gt;"",'Cpts miroirs des parents'!S37,"")</f>
        <v xml:space="preserve">a la responsabilité direct ou indirecte de choisir avec quel parent et où il souhaite vivre.  </v>
      </c>
    </row>
    <row r="102" spans="1:2" ht="49" customHeight="1" x14ac:dyDescent="0.2">
      <c r="A102" s="771" t="s">
        <v>2361</v>
      </c>
      <c r="B102" s="13" t="str">
        <f>IF('Cpts miroirs des parents'!S38&lt;&gt;"",'Cpts miroirs des parents'!S38,"")</f>
        <v/>
      </c>
    </row>
    <row r="103" spans="1:2" ht="24" x14ac:dyDescent="0.3">
      <c r="A103" s="36" t="s">
        <v>2190</v>
      </c>
    </row>
    <row r="104" spans="1:2" ht="24" x14ac:dyDescent="0.3">
      <c r="A104" s="36"/>
      <c r="B104" s="13">
        <f>'Cpts miroirs des parents'!X52</f>
        <v>0</v>
      </c>
    </row>
    <row r="105" spans="1:2" ht="17" x14ac:dyDescent="0.2">
      <c r="A105" s="45" t="s">
        <v>2216</v>
      </c>
      <c r="B105" s="13" t="s">
        <v>2191</v>
      </c>
    </row>
    <row r="106" spans="1:2" ht="85" x14ac:dyDescent="0.2">
      <c r="A106" s="2217" t="s">
        <v>2362</v>
      </c>
      <c r="B106" s="13" t="str">
        <f>IF('Cpts miroirs des parents'!T38&lt;&gt;"",'Cpts miroirs des parents'!T38,"")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row>
    <row r="107" spans="1:2" ht="17" x14ac:dyDescent="0.2">
      <c r="A107" s="2395" t="s">
        <v>2216</v>
      </c>
      <c r="B107" s="13" t="s">
        <v>2192</v>
      </c>
    </row>
    <row r="108" spans="1:2" ht="34" customHeight="1" x14ac:dyDescent="0.2">
      <c r="A108" s="2395" t="s">
        <v>2362</v>
      </c>
      <c r="B108" s="13">
        <f>IF('Cpts miroirs des parents'!U38&lt;&gt;"",'Cpts miroirs des parents'!U38,"")</f>
        <v>0</v>
      </c>
    </row>
    <row r="110" spans="1:2" ht="68" x14ac:dyDescent="0.2">
      <c r="A110" t="s">
        <v>2188</v>
      </c>
      <c r="B110" s="13" t="str">
        <f>HLOOKUP(1,'Cpts miroirs des parents'!V30:W39,10)</f>
        <v>Le conflit de loyauté insécurise et fragilise la santé psychologique de votre enfant et nuit à son développement. Nous vous recommandons de consulter la rubrique conflit de loyauté dans la section Psychologie de l'onglet Ressources afin de comprendre les répercussions du conflit de loyauté chez votre enfant et de  connaitre les meilleures pratiques en matière de coparentalité.</v>
      </c>
    </row>
    <row r="112" spans="1:2" ht="22" x14ac:dyDescent="0.25">
      <c r="A112" t="s">
        <v>2218</v>
      </c>
      <c r="B112" s="2438" t="s">
        <v>2230</v>
      </c>
    </row>
    <row r="114" spans="1:6" ht="21" x14ac:dyDescent="0.25">
      <c r="A114" s="2400" t="s">
        <v>2259</v>
      </c>
      <c r="B114" s="2250" t="str">
        <f>'Cpts préjudiciables parents'!C2</f>
        <v xml:space="preserve">À quels comportements préjudiciables votre enfant-il exposé ? </v>
      </c>
    </row>
    <row r="115" spans="1:6" ht="261" customHeight="1" x14ac:dyDescent="0.2"/>
    <row r="116" spans="1:6" ht="97" customHeight="1" x14ac:dyDescent="0.2">
      <c r="A116" s="2288" t="s">
        <v>2194</v>
      </c>
      <c r="B116" s="834" t="str">
        <f>'Cpts préjudiciables parents'!C4</f>
        <v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v>
      </c>
      <c r="C116" s="2472"/>
      <c r="D116" s="2472"/>
      <c r="E116" s="2472"/>
      <c r="F116" s="2472"/>
    </row>
    <row r="117" spans="1:6" ht="122" customHeight="1" x14ac:dyDescent="0.2">
      <c r="A117" s="25" t="s">
        <v>2217</v>
      </c>
      <c r="B117" s="25" t="str">
        <f>'Cpts préjudiciables parents'!L7</f>
        <v>Le tableau ci-joint présente les principaux comportements divisés par catégories qui influencent, entre autres, la dynamique familiale, la triade (parent répondant, coparent et enfant) et les relations parent-enfant (parents, enfant et nouveau ou nouvelle conjointe, le cas échéant). 
Présentation et définition des catégories :</v>
      </c>
    </row>
    <row r="118" spans="1:6" ht="17" x14ac:dyDescent="0.2">
      <c r="A118" s="2392" t="s">
        <v>2227</v>
      </c>
    </row>
    <row r="119" spans="1:6" ht="68" x14ac:dyDescent="0.2">
      <c r="A119" s="2392" t="s">
        <v>2263</v>
      </c>
      <c r="B119" s="834" t="str">
        <f>IF('Cpts préjudiciables parents'!H15&lt;&gt;"",'Cpts préjudiciables parents'!H15,"")</f>
        <v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v>
      </c>
    </row>
    <row r="120" spans="1:6" ht="17" x14ac:dyDescent="0.2">
      <c r="A120" s="2392" t="s">
        <v>2264</v>
      </c>
      <c r="B120" s="13" t="str">
        <f>IF('Cpts préjudiciables parents'!H22&lt;&gt;"",'Cpts préjudiciables parents'!H22,"")</f>
        <v/>
      </c>
    </row>
    <row r="121" spans="1:6" ht="17" x14ac:dyDescent="0.2">
      <c r="A121" s="2392" t="s">
        <v>2265</v>
      </c>
      <c r="B121" s="13" t="str">
        <f>IF('Cpts préjudiciables parents'!H27&lt;&gt;"",'Cpts préjudiciables parents'!H27,"")</f>
        <v/>
      </c>
    </row>
    <row r="122" spans="1:6" ht="34" x14ac:dyDescent="0.2">
      <c r="A122" s="2392" t="s">
        <v>2266</v>
      </c>
      <c r="B122" s="13" t="str">
        <f>IF('Cpts préjudiciables parents'!H37&lt;&gt;"",'Cpts préjudiciables parents'!H37,"")</f>
        <v xml:space="preserve">Interférence temps ou communication : lorsqu’un parent s’impose directement ou indirectement durant le temps parental de l’autre parent. </v>
      </c>
    </row>
    <row r="123" spans="1:6" ht="17" x14ac:dyDescent="0.2">
      <c r="A123" s="2392" t="s">
        <v>2267</v>
      </c>
      <c r="B123" s="13" t="str">
        <f>IF('Cpts préjudiciables parents'!H43&lt;&gt;"",'Cpts préjudiciables parents'!H43,"")</f>
        <v/>
      </c>
    </row>
    <row r="124" spans="1:6" ht="17" x14ac:dyDescent="0.2">
      <c r="A124" s="2392" t="s">
        <v>2268</v>
      </c>
      <c r="B124" s="13" t="str">
        <f>IF('Cpts préjudiciables parents'!H48&lt;&gt;"",'Cpts préjudiciables parents'!H48,"")</f>
        <v/>
      </c>
    </row>
    <row r="125" spans="1:6" ht="17" x14ac:dyDescent="0.2">
      <c r="A125" s="2392" t="s">
        <v>2269</v>
      </c>
      <c r="B125" s="13" t="str">
        <f>IF('Cpts préjudiciables parents'!H53&lt;&gt;"",'Cpts préjudiciables parents'!H53,"")</f>
        <v xml:space="preserve">Rôle actif de l’enfant : Lorsque l’enfant est appelé à jouer un rôle dans le conflit parental. </v>
      </c>
    </row>
    <row r="126" spans="1:6" ht="34" x14ac:dyDescent="0.2">
      <c r="A126" s="771" t="s">
        <v>2361</v>
      </c>
      <c r="B126" s="13">
        <f>IF('Cpts préjudiciables parents'!H55&lt;&gt;"",'Cpts préjudiciables parents'!H55,"")</f>
        <v>0</v>
      </c>
    </row>
    <row r="127" spans="1:6" ht="24" x14ac:dyDescent="0.3">
      <c r="A127" s="36" t="s">
        <v>2190</v>
      </c>
    </row>
    <row r="128" spans="1:6" ht="24" x14ac:dyDescent="0.3">
      <c r="A128" s="36"/>
      <c r="B128" s="13">
        <f>'Cpts préjudiciables parents'!M7</f>
        <v>0</v>
      </c>
    </row>
    <row r="129" spans="1:2" ht="24" x14ac:dyDescent="0.3">
      <c r="A129" s="36"/>
      <c r="B129" s="13" t="s">
        <v>2191</v>
      </c>
    </row>
    <row r="130" spans="1:2" ht="17" x14ac:dyDescent="0.2">
      <c r="A130" t="s">
        <v>2216</v>
      </c>
      <c r="B130" s="13" t="str">
        <f>IF('Cpts miroirs des parents'!T63&lt;&gt;"",'Cpts miroirs des parents'!T63,"")</f>
        <v/>
      </c>
    </row>
    <row r="131" spans="1:2" ht="51" x14ac:dyDescent="0.2">
      <c r="A131" s="698" t="s">
        <v>2270</v>
      </c>
      <c r="B131" s="834" t="str">
        <f>IF('Cpts préjudiciables parents'!I15&lt;&gt;"",'Cpts préjudiciables parents'!I15,"")</f>
        <v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v>
      </c>
    </row>
    <row r="132" spans="1:2" ht="17" x14ac:dyDescent="0.2">
      <c r="A132" s="45" t="s">
        <v>2240</v>
      </c>
      <c r="B132" s="13" t="str">
        <f>IF('Cpts préjudiciables parents'!I9&lt;&gt;"",'Cpts préjudiciables parents'!I9,"")</f>
        <v/>
      </c>
    </row>
    <row r="133" spans="1:2" x14ac:dyDescent="0.2">
      <c r="A133" s="45" t="s">
        <v>2240</v>
      </c>
    </row>
    <row r="134" spans="1:2" ht="17" x14ac:dyDescent="0.2">
      <c r="A134" s="45" t="s">
        <v>2240</v>
      </c>
      <c r="B134" s="13" t="str">
        <f>IF('Cpts préjudiciables parents'!I10&lt;&gt;"",'Cpts préjudiciables parents'!I10,"")</f>
        <v/>
      </c>
    </row>
    <row r="135" spans="1:2" x14ac:dyDescent="0.2">
      <c r="A135" s="45" t="s">
        <v>2240</v>
      </c>
      <c r="B135" s="13">
        <f>IF('Cpts préjudiciables parents'!I12&lt;&gt;"",'Cpts préjudiciables parents'!I12,"")</f>
        <v>0</v>
      </c>
    </row>
    <row r="136" spans="1:2" ht="17" x14ac:dyDescent="0.2">
      <c r="A136" s="45" t="s">
        <v>2240</v>
      </c>
      <c r="B136" s="13" t="str">
        <f>IF('Cpts préjudiciables parents'!I13&lt;&gt;"",'Cpts préjudiciables parents'!I13,"")</f>
        <v/>
      </c>
    </row>
    <row r="137" spans="1:2" x14ac:dyDescent="0.2">
      <c r="A137" s="45" t="s">
        <v>2240</v>
      </c>
      <c r="B137" s="13">
        <f>IF('Cpts préjudiciables parents'!I14&lt;&gt;"",'Cpts préjudiciables parents'!I14,"")</f>
        <v>0</v>
      </c>
    </row>
    <row r="138" spans="1:2" ht="17" x14ac:dyDescent="0.2">
      <c r="A138" s="698" t="s">
        <v>2264</v>
      </c>
      <c r="B138" s="13" t="str">
        <f>IF('Cpts préjudiciables parents'!I22&lt;&gt;"",'Cpts préjudiciables parents'!I22,"")</f>
        <v/>
      </c>
    </row>
    <row r="139" spans="1:2" x14ac:dyDescent="0.2">
      <c r="A139" s="45" t="s">
        <v>2241</v>
      </c>
      <c r="B139" s="13">
        <f>IF('Cpts préjudiciables parents'!I16&lt;&gt;"",'Cpts préjudiciables parents'!I16,"")</f>
        <v>0</v>
      </c>
    </row>
    <row r="140" spans="1:2" x14ac:dyDescent="0.2">
      <c r="A140" s="45" t="s">
        <v>2241</v>
      </c>
      <c r="B140" s="13">
        <f>IF('Cpts préjudiciables parents'!I17&lt;&gt;"",'Cpts préjudiciables parents'!I17,"")</f>
        <v>0</v>
      </c>
    </row>
    <row r="141" spans="1:2" ht="17" x14ac:dyDescent="0.2">
      <c r="A141" s="45" t="s">
        <v>2241</v>
      </c>
      <c r="B141" s="13" t="str">
        <f>IF('Cpts préjudiciables parents'!I18&lt;&gt;"",'Cpts préjudiciables parents'!I18,"")</f>
        <v/>
      </c>
    </row>
    <row r="142" spans="1:2" ht="17" x14ac:dyDescent="0.2">
      <c r="A142" s="45" t="s">
        <v>2241</v>
      </c>
      <c r="B142" s="13" t="str">
        <f>IF('Cpts préjudiciables parents'!I19&lt;&gt;"",'Cpts préjudiciables parents'!I19,"")</f>
        <v/>
      </c>
    </row>
    <row r="143" spans="1:2" ht="17" x14ac:dyDescent="0.2">
      <c r="A143" s="45" t="s">
        <v>2241</v>
      </c>
      <c r="B143" s="13" t="str">
        <f>IF('Cpts préjudiciables parents'!I20&lt;&gt;"",'Cpts préjudiciables parents'!I20,"")</f>
        <v/>
      </c>
    </row>
    <row r="144" spans="1:2" ht="17" x14ac:dyDescent="0.2">
      <c r="A144" s="45" t="s">
        <v>2241</v>
      </c>
      <c r="B144" s="13" t="str">
        <f>IF('Cpts préjudiciables parents'!I21&lt;&gt;"",'Cpts préjudiciables parents'!I21,"")</f>
        <v/>
      </c>
    </row>
    <row r="145" spans="1:2" ht="17" x14ac:dyDescent="0.2">
      <c r="A145" s="698" t="s">
        <v>2265</v>
      </c>
      <c r="B145" s="13" t="str">
        <f>IF('Cpts préjudiciables parents'!I27&lt;&gt;"",'Cpts préjudiciables parents'!I27,"")</f>
        <v/>
      </c>
    </row>
    <row r="146" spans="1:2" x14ac:dyDescent="0.2">
      <c r="A146" s="45" t="s">
        <v>2242</v>
      </c>
      <c r="B146" s="13">
        <f>IF('Cpts préjudiciables parents'!I23&lt;&gt;"",'Cpts préjudiciables parents'!I23,"")</f>
        <v>0</v>
      </c>
    </row>
    <row r="147" spans="1:2" ht="17" x14ac:dyDescent="0.2">
      <c r="A147" s="45" t="s">
        <v>2242</v>
      </c>
      <c r="B147" s="13" t="str">
        <f>IF('Cpts préjudiciables parents'!I24&lt;&gt;"",'Cpts préjudiciables parents'!I24,"")</f>
        <v/>
      </c>
    </row>
    <row r="148" spans="1:2" ht="17" x14ac:dyDescent="0.2">
      <c r="A148" s="45" t="s">
        <v>2242</v>
      </c>
      <c r="B148" s="13" t="str">
        <f>IF('Cpts préjudiciables parents'!I25&lt;&gt;"",'Cpts préjudiciables parents'!I25,"")</f>
        <v/>
      </c>
    </row>
    <row r="149" spans="1:2" ht="17" x14ac:dyDescent="0.2">
      <c r="A149" s="45" t="s">
        <v>2242</v>
      </c>
      <c r="B149" s="13" t="str">
        <f>IF('Cpts préjudiciables parents'!I26&lt;&gt;"",'Cpts préjudiciables parents'!I26,"")</f>
        <v/>
      </c>
    </row>
    <row r="150" spans="1:2" ht="17" x14ac:dyDescent="0.2">
      <c r="A150" s="698" t="s">
        <v>2266</v>
      </c>
      <c r="B150" s="13" t="str">
        <f>IF('Cpts préjudiciables parents'!I37&lt;&gt;"",'Cpts préjudiciables parents'!I37,"")</f>
        <v xml:space="preserve">Cette section entière mérite un drapeau jaune soulevant les principes rencontrés dans les comportements de la section. </v>
      </c>
    </row>
    <row r="151" spans="1:2" x14ac:dyDescent="0.2">
      <c r="A151" s="45" t="s">
        <v>2243</v>
      </c>
      <c r="B151" s="13">
        <f>IF('Cpts préjudiciables parents'!I28&lt;&gt;"",'Cpts préjudiciables parents'!I28,"")</f>
        <v>0</v>
      </c>
    </row>
    <row r="152" spans="1:2" ht="17" x14ac:dyDescent="0.2">
      <c r="A152" s="45" t="s">
        <v>2243</v>
      </c>
      <c r="B152" s="13" t="str">
        <f>IF('Cpts préjudiciables parents'!I29&lt;&gt;"",'Cpts préjudiciables parents'!I29,"")</f>
        <v/>
      </c>
    </row>
    <row r="153" spans="1:2" ht="17" x14ac:dyDescent="0.2">
      <c r="A153" s="45" t="s">
        <v>2243</v>
      </c>
      <c r="B153" s="13" t="str">
        <f>IF('Cpts préjudiciables parents'!I30&lt;&gt;"",'Cpts préjudiciables parents'!I30,"")</f>
        <v/>
      </c>
    </row>
    <row r="154" spans="1:2" ht="17" x14ac:dyDescent="0.2">
      <c r="A154" s="45" t="s">
        <v>2243</v>
      </c>
      <c r="B154" s="13" t="str">
        <f>IF('Cpts préjudiciables parents'!I31&lt;&gt;"",'Cpts préjudiciables parents'!I31,"")</f>
        <v/>
      </c>
    </row>
    <row r="155" spans="1:2" ht="17" x14ac:dyDescent="0.2">
      <c r="A155" s="45" t="s">
        <v>2243</v>
      </c>
      <c r="B155" s="13" t="str">
        <f>IF('Cpts préjudiciables parents'!I32&lt;&gt;"",'Cpts préjudiciables parents'!I32,"")</f>
        <v/>
      </c>
    </row>
    <row r="156" spans="1:2" x14ac:dyDescent="0.2">
      <c r="A156" s="45" t="s">
        <v>2243</v>
      </c>
      <c r="B156" s="13">
        <f>IF('Cpts préjudiciables parents'!I33&lt;&gt;"",'Cpts préjudiciables parents'!I33,"")</f>
        <v>0</v>
      </c>
    </row>
    <row r="157" spans="1:2" ht="17" x14ac:dyDescent="0.2">
      <c r="A157" s="45" t="s">
        <v>2243</v>
      </c>
      <c r="B157" s="13" t="str">
        <f>IF('Cpts préjudiciables parents'!I34&lt;&gt;"",'Cpts préjudiciables parents'!I34,"")</f>
        <v/>
      </c>
    </row>
    <row r="158" spans="1:2" x14ac:dyDescent="0.2">
      <c r="A158" s="45" t="s">
        <v>2243</v>
      </c>
      <c r="B158" s="13">
        <f>IF('Cpts préjudiciables parents'!I35&lt;&gt;"",'Cpts préjudiciables parents'!I35,"")</f>
        <v>0</v>
      </c>
    </row>
    <row r="159" spans="1:2" ht="17" x14ac:dyDescent="0.2">
      <c r="A159" s="45" t="s">
        <v>2243</v>
      </c>
      <c r="B159" s="13" t="str">
        <f>IF('Cpts préjudiciables parents'!I36&lt;&gt;"",'Cpts préjudiciables parents'!I36,"")</f>
        <v/>
      </c>
    </row>
    <row r="160" spans="1:2" ht="17" x14ac:dyDescent="0.2">
      <c r="A160" s="698" t="s">
        <v>2267</v>
      </c>
      <c r="B160" s="13" t="str">
        <f>IF('Cpts préjudiciables parents'!I43&lt;&gt;"",'Cpts préjudiciables parents'!I43,"")</f>
        <v/>
      </c>
    </row>
    <row r="161" spans="1:2" x14ac:dyDescent="0.2">
      <c r="A161" s="45" t="s">
        <v>2244</v>
      </c>
      <c r="B161" s="13">
        <f>IF('Cpts préjudiciables parents'!I38&lt;&gt;"",'Cpts préjudiciables parents'!I38,"")</f>
        <v>0</v>
      </c>
    </row>
    <row r="162" spans="1:2" ht="17" x14ac:dyDescent="0.2">
      <c r="A162" s="45" t="s">
        <v>2244</v>
      </c>
      <c r="B162" s="13" t="str">
        <f>IF('Cpts préjudiciables parents'!I39&lt;&gt;"",'Cpts préjudiciables parents'!I39,"")</f>
        <v/>
      </c>
    </row>
    <row r="163" spans="1:2" ht="17" x14ac:dyDescent="0.2">
      <c r="A163" s="45" t="s">
        <v>2244</v>
      </c>
      <c r="B163" s="13" t="str">
        <f>IF('Cpts préjudiciables parents'!I40&lt;&gt;"",'Cpts préjudiciables parents'!I40,"")</f>
        <v/>
      </c>
    </row>
    <row r="164" spans="1:2" x14ac:dyDescent="0.2">
      <c r="A164" s="45" t="s">
        <v>2244</v>
      </c>
      <c r="B164" s="13">
        <f>IF('Cpts préjudiciables parents'!I41&lt;&gt;"",'Cpts préjudiciables parents'!I41,"")</f>
        <v>0</v>
      </c>
    </row>
    <row r="165" spans="1:2" ht="17" x14ac:dyDescent="0.2">
      <c r="A165" s="45" t="s">
        <v>2244</v>
      </c>
      <c r="B165" s="13" t="str">
        <f>IF('Cpts préjudiciables parents'!I42&lt;&gt;"",'Cpts préjudiciables parents'!I42,"")</f>
        <v/>
      </c>
    </row>
    <row r="166" spans="1:2" ht="17" x14ac:dyDescent="0.2">
      <c r="A166" s="698" t="s">
        <v>2268</v>
      </c>
      <c r="B166" s="13" t="str">
        <f>IF('Cpts préjudiciables parents'!I48&lt;&gt;"",'Cpts préjudiciables parents'!I48,"")</f>
        <v/>
      </c>
    </row>
    <row r="167" spans="1:2" ht="17" x14ac:dyDescent="0.2">
      <c r="A167" s="45" t="s">
        <v>2245</v>
      </c>
      <c r="B167" s="13" t="str">
        <f>IF('Cpts préjudiciables parents'!I44&lt;&gt;"",'Cpts préjudiciables parents'!I44,"")</f>
        <v/>
      </c>
    </row>
    <row r="168" spans="1:2" x14ac:dyDescent="0.2">
      <c r="A168" s="45" t="s">
        <v>2245</v>
      </c>
      <c r="B168" s="13">
        <f>IF('Cpts préjudiciables parents'!I45&lt;&gt;"",'Cpts préjudiciables parents'!I45,"")</f>
        <v>0</v>
      </c>
    </row>
    <row r="169" spans="1:2" ht="17" x14ac:dyDescent="0.2">
      <c r="A169" s="45" t="s">
        <v>2245</v>
      </c>
      <c r="B169" s="13" t="str">
        <f>IF('Cpts préjudiciables parents'!I46&lt;&gt;"",'Cpts préjudiciables parents'!I46,"")</f>
        <v/>
      </c>
    </row>
    <row r="170" spans="1:2" ht="17" x14ac:dyDescent="0.2">
      <c r="A170" s="45" t="s">
        <v>2245</v>
      </c>
      <c r="B170" s="13" t="str">
        <f>IF('Cpts préjudiciables parents'!I47&lt;&gt;"",'Cpts préjudiciables parents'!I47,"")</f>
        <v/>
      </c>
    </row>
    <row r="171" spans="1:2" ht="17" x14ac:dyDescent="0.2">
      <c r="A171" s="698" t="s">
        <v>2269</v>
      </c>
      <c r="B171" s="13" t="str">
        <f>IF('Cpts préjudiciables parents'!I53&lt;&gt;"",'Cpts préjudiciables parents'!I53,"")</f>
        <v xml:space="preserve">Cette section entière mérite un drapeau jaune soulevant les principes rencontrés dans les comportements de la section. </v>
      </c>
    </row>
    <row r="172" spans="1:2" x14ac:dyDescent="0.2">
      <c r="A172" s="45" t="s">
        <v>2246</v>
      </c>
      <c r="B172" s="13">
        <f>IF('Cpts préjudiciables parents'!I49&lt;&gt;"",'Cpts préjudiciables parents'!I49,"")</f>
        <v>0</v>
      </c>
    </row>
    <row r="173" spans="1:2" ht="17" x14ac:dyDescent="0.2">
      <c r="A173" s="45" t="s">
        <v>2246</v>
      </c>
      <c r="B173" s="13" t="str">
        <f>IF('Cpts préjudiciables parents'!I50&lt;&gt;"",'Cpts préjudiciables parents'!I50,"")</f>
        <v/>
      </c>
    </row>
    <row r="174" spans="1:2" x14ac:dyDescent="0.2">
      <c r="A174" s="45" t="s">
        <v>2246</v>
      </c>
      <c r="B174" s="13">
        <f>IF('Cpts préjudiciables parents'!I51&lt;&gt;"",'Cpts préjudiciables parents'!I51,"")</f>
        <v>0</v>
      </c>
    </row>
    <row r="175" spans="1:2" ht="17" x14ac:dyDescent="0.2">
      <c r="A175" s="45" t="s">
        <v>2246</v>
      </c>
      <c r="B175" s="13" t="str">
        <f>IF('Cpts préjudiciables parents'!I52&lt;&gt;"",'Cpts préjudiciables parents'!I52,"")</f>
        <v/>
      </c>
    </row>
    <row r="176" spans="1:2" ht="17" x14ac:dyDescent="0.2">
      <c r="B176" s="13" t="s">
        <v>2192</v>
      </c>
    </row>
    <row r="177" spans="1:2" ht="17" x14ac:dyDescent="0.2">
      <c r="A177" t="s">
        <v>2216</v>
      </c>
      <c r="B177" s="13" t="str">
        <f>IF('Cpts miroirs des parents'!U84&lt;&gt;"",'Cpts miroirs des parents'!U84,"")</f>
        <v/>
      </c>
    </row>
    <row r="178" spans="1:2" x14ac:dyDescent="0.2">
      <c r="A178" s="1233" t="s">
        <v>2270</v>
      </c>
      <c r="B178" s="13">
        <f>IF('Cpts préjudiciables parents'!J15&lt;&gt;"",'Cpts préjudiciables parents'!J15,"")</f>
        <v>0</v>
      </c>
    </row>
    <row r="179" spans="1:2" ht="17" x14ac:dyDescent="0.2">
      <c r="A179" s="1233" t="s">
        <v>2240</v>
      </c>
      <c r="B179" s="13" t="str">
        <f>IF('Cpts préjudiciables parents'!J9&lt;&gt;"",'Cpts préjudiciables parents'!J9,"")</f>
        <v/>
      </c>
    </row>
    <row r="180" spans="1:2" ht="17" x14ac:dyDescent="0.2">
      <c r="A180" s="1233" t="s">
        <v>2240</v>
      </c>
      <c r="B180" s="13" t="str">
        <f>IF('Cpts préjudiciables parents'!J10&lt;&gt;"",'Cpts préjudiciables parents'!J10,"")</f>
        <v/>
      </c>
    </row>
    <row r="181" spans="1:2" ht="17" x14ac:dyDescent="0.2">
      <c r="A181" s="1233" t="s">
        <v>2240</v>
      </c>
      <c r="B181" s="13" t="str">
        <f>IF('Cpts préjudiciables parents'!J11&lt;&gt;"",'Cpts préjudiciables parents'!J11,"")</f>
        <v/>
      </c>
    </row>
    <row r="182" spans="1:2" x14ac:dyDescent="0.2">
      <c r="A182" s="1233" t="s">
        <v>2240</v>
      </c>
      <c r="B182" s="13">
        <f>IF('Cpts préjudiciables parents'!J12&lt;&gt;"",'Cpts préjudiciables parents'!J12,"")</f>
        <v>0</v>
      </c>
    </row>
    <row r="183" spans="1:2" ht="17" x14ac:dyDescent="0.2">
      <c r="A183" s="1233" t="s">
        <v>2240</v>
      </c>
      <c r="B183" s="13" t="str">
        <f>IF('Cpts préjudiciables parents'!J13&lt;&gt;"",'Cpts préjudiciables parents'!J13,"")</f>
        <v/>
      </c>
    </row>
    <row r="184" spans="1:2" ht="17" x14ac:dyDescent="0.2">
      <c r="A184" s="1233" t="s">
        <v>2240</v>
      </c>
      <c r="B184" s="13" t="str">
        <f>IF('Cpts préjudiciables parents'!J14&lt;&gt;"",'Cpts préjudiciables parents'!J14,"")</f>
        <v>Ce comportement mérite un DRAPEAU ROUGE. Lorem ipsum dolor sit amet. Id voluptatem galisum.</v>
      </c>
    </row>
    <row r="185" spans="1:2" ht="17" x14ac:dyDescent="0.2">
      <c r="A185" s="1233" t="s">
        <v>2264</v>
      </c>
      <c r="B185" s="13" t="str">
        <f>IF('Cpts préjudiciables parents'!J22&lt;&gt;"",'Cpts préjudiciables parents'!J22,"")</f>
        <v/>
      </c>
    </row>
    <row r="186" spans="1:2" x14ac:dyDescent="0.2">
      <c r="A186" s="1233" t="s">
        <v>2241</v>
      </c>
      <c r="B186" s="13">
        <f>IF('Cpts préjudiciables parents'!J16&lt;&gt;"",'Cpts préjudiciables parents'!J16,"")</f>
        <v>0</v>
      </c>
    </row>
    <row r="187" spans="1:2" x14ac:dyDescent="0.2">
      <c r="A187" s="1233" t="s">
        <v>2241</v>
      </c>
      <c r="B187" s="13">
        <f>IF('Cpts préjudiciables parents'!J17&lt;&gt;"",'Cpts préjudiciables parents'!J17,"")</f>
        <v>0</v>
      </c>
    </row>
    <row r="188" spans="1:2" ht="17" x14ac:dyDescent="0.2">
      <c r="A188" s="1233" t="s">
        <v>2241</v>
      </c>
      <c r="B188" s="13" t="str">
        <f>IF('Cpts préjudiciables parents'!J18&lt;&gt;"",'Cpts préjudiciables parents'!J18,"")</f>
        <v/>
      </c>
    </row>
    <row r="189" spans="1:2" ht="17" x14ac:dyDescent="0.2">
      <c r="A189" s="1233" t="s">
        <v>2241</v>
      </c>
      <c r="B189" s="13" t="str">
        <f>IF('Cpts préjudiciables parents'!J19&lt;&gt;"",'Cpts préjudiciables parents'!J19,"")</f>
        <v/>
      </c>
    </row>
    <row r="190" spans="1:2" ht="17" x14ac:dyDescent="0.2">
      <c r="A190" s="1233" t="s">
        <v>2241</v>
      </c>
      <c r="B190" s="13" t="str">
        <f>IF('Cpts préjudiciables parents'!J20&lt;&gt;"",'Cpts préjudiciables parents'!J20,"")</f>
        <v/>
      </c>
    </row>
    <row r="191" spans="1:2" ht="17" x14ac:dyDescent="0.2">
      <c r="A191" s="1233" t="s">
        <v>2241</v>
      </c>
      <c r="B191" s="13" t="str">
        <f>IF('Cpts préjudiciables parents'!J21&lt;&gt;"",'Cpts préjudiciables parents'!J21,"")</f>
        <v/>
      </c>
    </row>
    <row r="192" spans="1:2" ht="17" x14ac:dyDescent="0.2">
      <c r="A192" s="1233" t="s">
        <v>2265</v>
      </c>
      <c r="B192" s="13" t="str">
        <f>IF('Cpts préjudiciables parents'!J27&lt;&gt;"",'Cpts préjudiciables parents'!J27,"")</f>
        <v/>
      </c>
    </row>
    <row r="193" spans="1:2" x14ac:dyDescent="0.2">
      <c r="A193" s="1233" t="s">
        <v>2242</v>
      </c>
      <c r="B193" s="13">
        <f>IF('Cpts préjudiciables parents'!J23&lt;&gt;"",'Cpts préjudiciables parents'!J23,"")</f>
        <v>0</v>
      </c>
    </row>
    <row r="194" spans="1:2" ht="17" x14ac:dyDescent="0.2">
      <c r="A194" s="1233" t="s">
        <v>2242</v>
      </c>
      <c r="B194" s="13" t="str">
        <f>IF('Cpts préjudiciables parents'!J24&lt;&gt;"",'Cpts préjudiciables parents'!J24,"")</f>
        <v/>
      </c>
    </row>
    <row r="195" spans="1:2" ht="17" x14ac:dyDescent="0.2">
      <c r="A195" s="1233" t="s">
        <v>2242</v>
      </c>
      <c r="B195" s="13" t="str">
        <f>IF('Cpts préjudiciables parents'!J25&lt;&gt;"",'Cpts préjudiciables parents'!J25,"")</f>
        <v/>
      </c>
    </row>
    <row r="196" spans="1:2" ht="17" x14ac:dyDescent="0.2">
      <c r="A196" s="1233" t="s">
        <v>2242</v>
      </c>
      <c r="B196" s="13" t="str">
        <f>IF('Cpts préjudiciables parents'!J26&lt;&gt;"",'Cpts préjudiciables parents'!J26,"")</f>
        <v/>
      </c>
    </row>
    <row r="197" spans="1:2" x14ac:dyDescent="0.2">
      <c r="A197" s="1233" t="s">
        <v>2266</v>
      </c>
      <c r="B197" s="13">
        <f>IF('Cpts préjudiciables parents'!J37&lt;&gt;"",'Cpts préjudiciables parents'!J37,"")</f>
        <v>0</v>
      </c>
    </row>
    <row r="198" spans="1:2" x14ac:dyDescent="0.2">
      <c r="A198" s="1233" t="s">
        <v>2243</v>
      </c>
      <c r="B198" s="13">
        <f>IF('Cpts préjudiciables parents'!J28&lt;&gt;"",'Cpts préjudiciables parents'!J28,"")</f>
        <v>0</v>
      </c>
    </row>
    <row r="199" spans="1:2" ht="17" x14ac:dyDescent="0.2">
      <c r="A199" s="1233" t="s">
        <v>2243</v>
      </c>
      <c r="B199" s="13" t="str">
        <f>IF('Cpts préjudiciables parents'!J29&lt;&gt;"",'Cpts préjudiciables parents'!J29,"")</f>
        <v/>
      </c>
    </row>
    <row r="200" spans="1:2" ht="17" x14ac:dyDescent="0.2">
      <c r="A200" s="1233" t="s">
        <v>2243</v>
      </c>
      <c r="B200" s="13" t="str">
        <f>IF('Cpts préjudiciables parents'!J30&lt;&gt;"",'Cpts préjudiciables parents'!J30,"")</f>
        <v/>
      </c>
    </row>
    <row r="201" spans="1:2" ht="17" x14ac:dyDescent="0.2">
      <c r="A201" s="1233" t="s">
        <v>2243</v>
      </c>
      <c r="B201" s="13" t="str">
        <f>IF('Cpts préjudiciables parents'!J31&lt;&gt;"",'Cpts préjudiciables parents'!J31,"")</f>
        <v/>
      </c>
    </row>
    <row r="202" spans="1:2" ht="17" x14ac:dyDescent="0.2">
      <c r="A202" s="1233" t="s">
        <v>2243</v>
      </c>
      <c r="B202" s="13" t="str">
        <f>IF('Cpts préjudiciables parents'!J32&lt;&gt;"",'Cpts préjudiciables parents'!J32,"")</f>
        <v/>
      </c>
    </row>
    <row r="203" spans="1:2" ht="187" x14ac:dyDescent="0.2">
      <c r="A203" s="1233" t="s">
        <v>2243</v>
      </c>
      <c r="B203" s="834" t="str">
        <f>IF('Cpts préjudiciables parents'!J33&lt;&gt;"",'Cpts préjudiciables parents'!J33,"")</f>
        <v>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row>
    <row r="204" spans="1:2" ht="17" x14ac:dyDescent="0.2">
      <c r="A204" s="1233" t="s">
        <v>2243</v>
      </c>
      <c r="B204" s="13" t="str">
        <f>IF('Cpts préjudiciables parents'!J34&lt;&gt;"",'Cpts préjudiciables parents'!J34,"")</f>
        <v/>
      </c>
    </row>
    <row r="205" spans="1:2" ht="17" x14ac:dyDescent="0.2">
      <c r="A205" s="1233" t="s">
        <v>2243</v>
      </c>
      <c r="B205" s="13" t="str">
        <f>IF('Cpts préjudiciables parents'!J35&lt;&gt;"",'Cpts préjudiciables parents'!J35,"")</f>
        <v>Ce comportement mérite un DRAPEAU ROUGE. Lorem ipsum dolor sit amet. Id voluptatem galisum.</v>
      </c>
    </row>
    <row r="206" spans="1:2" ht="17" x14ac:dyDescent="0.2">
      <c r="A206" s="1233" t="s">
        <v>2243</v>
      </c>
      <c r="B206" s="13" t="str">
        <f>IF('Cpts préjudiciables parents'!J36&lt;&gt;"",'Cpts préjudiciables parents'!J36,"")</f>
        <v/>
      </c>
    </row>
    <row r="207" spans="1:2" ht="17" x14ac:dyDescent="0.2">
      <c r="A207" s="1233" t="s">
        <v>2267</v>
      </c>
      <c r="B207" s="13" t="str">
        <f>IF('Cpts préjudiciables parents'!J43&lt;&gt;"",'Cpts préjudiciables parents'!J43,"")</f>
        <v/>
      </c>
    </row>
    <row r="208" spans="1:2" x14ac:dyDescent="0.2">
      <c r="A208" s="1233" t="s">
        <v>2244</v>
      </c>
      <c r="B208" s="13">
        <f>IF('Cpts préjudiciables parents'!J38&lt;&gt;"",'Cpts préjudiciables parents'!J38,"")</f>
        <v>0</v>
      </c>
    </row>
    <row r="209" spans="1:2" ht="17" x14ac:dyDescent="0.2">
      <c r="A209" s="1233" t="s">
        <v>2244</v>
      </c>
      <c r="B209" s="13" t="str">
        <f>IF('Cpts préjudiciables parents'!J39&lt;&gt;"",'Cpts préjudiciables parents'!J39,"")</f>
        <v/>
      </c>
    </row>
    <row r="210" spans="1:2" ht="17" x14ac:dyDescent="0.2">
      <c r="A210" s="1233" t="s">
        <v>2244</v>
      </c>
      <c r="B210" s="13" t="str">
        <f>IF('Cpts préjudiciables parents'!J40&lt;&gt;"",'Cpts préjudiciables parents'!J40,"")</f>
        <v/>
      </c>
    </row>
    <row r="211" spans="1:2" ht="19" customHeight="1" x14ac:dyDescent="0.2">
      <c r="A211" s="1233" t="s">
        <v>2244</v>
      </c>
      <c r="B211" s="13">
        <f>IF('Cpts préjudiciables parents'!J41&lt;&gt;"",'Cpts préjudiciables parents'!J41,"")</f>
        <v>0</v>
      </c>
    </row>
    <row r="212" spans="1:2" ht="17" x14ac:dyDescent="0.2">
      <c r="A212" s="1233" t="s">
        <v>2244</v>
      </c>
      <c r="B212" s="13" t="str">
        <f>IF('Cpts préjudiciables parents'!J42&lt;&gt;"",'Cpts préjudiciables parents'!J42,"")</f>
        <v/>
      </c>
    </row>
    <row r="213" spans="1:2" ht="17" x14ac:dyDescent="0.2">
      <c r="A213" s="1233" t="s">
        <v>2268</v>
      </c>
      <c r="B213" s="13" t="str">
        <f>IF('Cpts préjudiciables parents'!J48&lt;&gt;"",'Cpts préjudiciables parents'!J48,"")</f>
        <v/>
      </c>
    </row>
    <row r="214" spans="1:2" ht="17" x14ac:dyDescent="0.2">
      <c r="A214" s="1233" t="s">
        <v>2245</v>
      </c>
      <c r="B214" s="13" t="str">
        <f>IF('Cpts préjudiciables parents'!J44&lt;&gt;"",'Cpts préjudiciables parents'!J44,"")</f>
        <v/>
      </c>
    </row>
    <row r="215" spans="1:2" x14ac:dyDescent="0.2">
      <c r="A215" s="1233" t="s">
        <v>2245</v>
      </c>
      <c r="B215" s="13">
        <f>IF('Cpts préjudiciables parents'!J45&lt;&gt;"",'Cpts préjudiciables parents'!J45,"")</f>
        <v>0</v>
      </c>
    </row>
    <row r="216" spans="1:2" ht="17" x14ac:dyDescent="0.2">
      <c r="A216" s="1233" t="s">
        <v>2245</v>
      </c>
      <c r="B216" s="13" t="str">
        <f>IF('Cpts préjudiciables parents'!J46&lt;&gt;"",'Cpts préjudiciables parents'!J46,"")</f>
        <v/>
      </c>
    </row>
    <row r="217" spans="1:2" ht="17" x14ac:dyDescent="0.2">
      <c r="A217" s="1233" t="s">
        <v>2245</v>
      </c>
      <c r="B217" s="13" t="str">
        <f>IF('Cpts préjudiciables parents'!J47&lt;&gt;"",'Cpts préjudiciables parents'!J47,"")</f>
        <v/>
      </c>
    </row>
    <row r="218" spans="1:2" x14ac:dyDescent="0.2">
      <c r="A218" s="1233" t="s">
        <v>2269</v>
      </c>
      <c r="B218" s="13">
        <f>IF('Cpts préjudiciables parents'!J53&lt;&gt;"",'Cpts préjudiciables parents'!J53,"")</f>
        <v>0</v>
      </c>
    </row>
    <row r="219" spans="1:2" x14ac:dyDescent="0.2">
      <c r="A219" s="1233" t="s">
        <v>2246</v>
      </c>
      <c r="B219" s="13">
        <f>IF('Cpts préjudiciables parents'!J49&lt;&gt;"",'Cpts préjudiciables parents'!J549,"")</f>
        <v>0</v>
      </c>
    </row>
    <row r="220" spans="1:2" ht="17" x14ac:dyDescent="0.2">
      <c r="A220" s="1233" t="s">
        <v>2246</v>
      </c>
      <c r="B220" s="13" t="str">
        <f>IF('Cpts préjudiciables parents'!J50&lt;&gt;"",'Cpts préjudiciables parents'!J550,"")</f>
        <v/>
      </c>
    </row>
    <row r="221" spans="1:2" x14ac:dyDescent="0.2">
      <c r="A221" s="1233" t="s">
        <v>2246</v>
      </c>
      <c r="B221" s="13">
        <f>IF('Cpts préjudiciables parents'!J51&lt;&gt;"",'Cpts préjudiciables parents'!J551,"")</f>
        <v>0</v>
      </c>
    </row>
    <row r="222" spans="1:2" ht="17" x14ac:dyDescent="0.2">
      <c r="A222" s="1233" t="s">
        <v>2246</v>
      </c>
      <c r="B222" s="13" t="str">
        <f>IF('Cpts préjudiciables parents'!J52&lt;&gt;"",'Cpts préjudiciables parents'!J552,"")</f>
        <v/>
      </c>
    </row>
    <row r="224" spans="1:2" ht="119" x14ac:dyDescent="0.2">
      <c r="A224" t="s">
        <v>2188</v>
      </c>
      <c r="B224" s="2398" t="str">
        <f>'Cpts préjudiciables parents'!L56</f>
        <v>La parentification est le processus d'inversion des rôles par lequel un enfant se voit forcé d’agir, inconsciemment, en tant que parent de son propre parent. Dans les cas extrêmes, l'enfant est utilisé pour combler le vide de la vie émotionnelle du parent aliénant. 
La parentification de l’enfant est un processus interne à la vie familiale qui amène un enfant ou un adolescent à prendre des responsabilités plus importantes que ne le voudraient son âge et sa maturation et qui le conduisent à devenir un parent pour son parent (Parentification et thérapie familiale par Jean François GOFF).</v>
      </c>
    </row>
    <row r="226" spans="1:2" ht="21" x14ac:dyDescent="0.25">
      <c r="A226" s="2400" t="s">
        <v>2260</v>
      </c>
      <c r="B226" s="2250" t="str">
        <f>'Indice D''exclusion'!D1</f>
        <v xml:space="preserve">L’autre parent adopte-t-il ou elle des comportements trahissant un désir d’exclusion parentale ? </v>
      </c>
    </row>
    <row r="227" spans="1:2" ht="125" customHeight="1" x14ac:dyDescent="0.2">
      <c r="A227" s="25" t="s">
        <v>2231</v>
      </c>
    </row>
    <row r="228" spans="1:2" ht="62" customHeight="1" x14ac:dyDescent="0.2">
      <c r="A228" s="2288" t="s">
        <v>2194</v>
      </c>
      <c r="B228" s="25" t="str">
        <f>'Indice D''exclusion'!D6</f>
        <v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row>
    <row r="229" spans="1:2" ht="57" customHeight="1" x14ac:dyDescent="0.2">
      <c r="A229" s="25" t="s">
        <v>2217</v>
      </c>
      <c r="B229" s="25" t="str">
        <f>HLOOKUP(1,'Indice D''exclusion'!$S$11:$T$42,2)</f>
        <v xml:space="preserve">L’analyse des réponses aux questionnaires révèle un désir d’exclusion parentale POSSIBLE. Certains comportements du coparent tendent consciemment ou inconsciemment à dénigrer votre valeur parentale, pouvant ainsi affecter votre lien affectif avec votre enfant. </v>
      </c>
    </row>
    <row r="230" spans="1:2" ht="17" x14ac:dyDescent="0.2">
      <c r="A230" s="2392" t="s">
        <v>2227</v>
      </c>
      <c r="B230" s="13" t="str">
        <f>IF('Cpts miroirs des parents'!S92&lt;&gt;"",'Cpts miroirs des parents'!S92,"")</f>
        <v/>
      </c>
    </row>
    <row r="231" spans="1:2" ht="34" x14ac:dyDescent="0.2">
      <c r="A231" s="2392" t="s">
        <v>2232</v>
      </c>
      <c r="B231" s="13" t="str">
        <f>IF('Indice D''exclusion'!P17&lt;&gt;"",'Indice D''exclusion'!P17,"")</f>
        <v xml:space="preserve">L’autre parent semble donner à votre enfant la responsabilité de choisir – où il devrait vivre et/ou le respect de votre temps parental. De respecter le temps parental prévu. Ce qui pourrait fragiliser votre relation avec votre enfant. </v>
      </c>
    </row>
    <row r="232" spans="1:2" ht="17" x14ac:dyDescent="0.2">
      <c r="A232" s="2392" t="s">
        <v>2186</v>
      </c>
      <c r="B232" s="13" t="str">
        <f>IF('Indice D''exclusion'!P21&lt;&gt;"",'Indice D''exclusion'!P21,"")</f>
        <v/>
      </c>
    </row>
    <row r="233" spans="1:2" ht="51" x14ac:dyDescent="0.2">
      <c r="A233" s="2392" t="s">
        <v>2187</v>
      </c>
      <c r="B233" s="13" t="str">
        <f>IF('Indice D''exclusion'!P26&lt;&gt;"",'Indice D''exclusion'!P26,"")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row>
    <row r="234" spans="1:2" ht="17" x14ac:dyDescent="0.2">
      <c r="A234" s="2392" t="s">
        <v>2235</v>
      </c>
      <c r="B234" s="13" t="str">
        <f>IF('Indice D''exclusion'!P30&lt;&gt;"",'Indice D''exclusion'!P30,"")</f>
        <v/>
      </c>
    </row>
    <row r="235" spans="1:2" ht="17" x14ac:dyDescent="0.2">
      <c r="A235" s="2392" t="s">
        <v>2236</v>
      </c>
      <c r="B235" s="13" t="str">
        <f>IF('Indice D''exclusion'!P34&lt;&gt;"",'Indice D''exclusion'!P34,"")</f>
        <v xml:space="preserve">L’intention de vous exclure des décisions concernant votre enfant a été exprimée par l’autre parent. </v>
      </c>
    </row>
    <row r="236" spans="1:2" ht="29" customHeight="1" x14ac:dyDescent="0.2">
      <c r="A236" s="771" t="s">
        <v>2361</v>
      </c>
      <c r="B236" s="13" t="b">
        <f>IF('Indice D''exclusion'!P41&lt;&gt;"",'Indice D''exclusion'!P41,"")</f>
        <v>1</v>
      </c>
    </row>
    <row r="237" spans="1:2" ht="24" x14ac:dyDescent="0.3">
      <c r="A237" s="36" t="s">
        <v>2190</v>
      </c>
    </row>
    <row r="238" spans="1:2" ht="51" x14ac:dyDescent="0.3">
      <c r="A238" s="36"/>
      <c r="B238" s="25" t="str">
        <f>HLOOKUP(1,'Indice D''exclusion'!S11:T12,2)</f>
        <v xml:space="preserve">L’analyse des réponses aux questionnaires révèle un désir d’exclusion parentale POSSIBLE. Certains comportements du coparent tendent consciemment ou inconsciemment à dénigrer votre valeur parentale, pouvant ainsi affecter votre lien affectif avec votre enfant. </v>
      </c>
    </row>
    <row r="239" spans="1:2" ht="17" x14ac:dyDescent="0.2">
      <c r="A239" s="45" t="s">
        <v>2216</v>
      </c>
      <c r="B239" s="13" t="s">
        <v>2191</v>
      </c>
    </row>
    <row r="240" spans="1:2" ht="34" x14ac:dyDescent="0.2">
      <c r="A240" s="45" t="s">
        <v>2239</v>
      </c>
      <c r="B240" s="13" t="str">
        <f>IF('Indice D''exclusion'!Q17&lt;&gt;"",'Indice D''exclusion'!Q17,"")</f>
        <v xml:space="preserve">Lorem ipsum eligendi  – DRAPEAU JAUNE PAR THÈME -- donner à l'enfant la responsabilité de chosir va à l'encontre de son intérêt -- unde similique sed deserunt aperiam ad eligendi tempora! </v>
      </c>
    </row>
    <row r="241" spans="1:2" x14ac:dyDescent="0.2">
      <c r="A241" s="45" t="s">
        <v>2240</v>
      </c>
      <c r="B241" s="13">
        <f>IF('Indice D''exclusion'!Q13&lt;&gt;"",'Indice D''exclusion'!Q13,"")</f>
        <v>0</v>
      </c>
    </row>
    <row r="242" spans="1:2" x14ac:dyDescent="0.2">
      <c r="A242" s="45" t="s">
        <v>2240</v>
      </c>
      <c r="B242" s="13">
        <f>IF('Indice D''exclusion'!Q14&lt;&gt;"",'Indice D''exclusion'!Q14,"")</f>
        <v>0</v>
      </c>
    </row>
    <row r="243" spans="1:2" ht="17" x14ac:dyDescent="0.2">
      <c r="A243" s="45" t="s">
        <v>2240</v>
      </c>
      <c r="B243" s="13" t="str">
        <f>IF('Indice D''exclusion'!Q15&lt;&gt;"",'Indice D''exclusion'!Q15,"")</f>
        <v xml:space="preserve"> </v>
      </c>
    </row>
    <row r="244" spans="1:2" x14ac:dyDescent="0.2">
      <c r="A244" s="45" t="s">
        <v>2240</v>
      </c>
      <c r="B244" s="13">
        <f>IF('Indice D''exclusion'!Q16&lt;&gt;"",'Indice D''exclusion'!Q16,"")</f>
        <v>0</v>
      </c>
    </row>
    <row r="245" spans="1:2" ht="17" x14ac:dyDescent="0.2">
      <c r="A245" s="45" t="s">
        <v>2247</v>
      </c>
      <c r="B245" s="13" t="str">
        <f>IF('Indice D''exclusion'!Q21&lt;&gt;"",'Indice D''exclusion'!Q21,"")</f>
        <v/>
      </c>
    </row>
    <row r="246" spans="1:2" ht="17" x14ac:dyDescent="0.2">
      <c r="A246" s="45" t="s">
        <v>2241</v>
      </c>
      <c r="B246" s="13" t="str">
        <f>IF('Indice D''exclusion'!Q18&lt;&gt;"",'Indice D''exclusion'!Q18,"")</f>
        <v xml:space="preserve"> </v>
      </c>
    </row>
    <row r="247" spans="1:2" ht="17" x14ac:dyDescent="0.2">
      <c r="A247" s="45" t="s">
        <v>2241</v>
      </c>
      <c r="B247" s="13" t="str">
        <f>IF('Indice D''exclusion'!Q19&lt;&gt;"",'Indice D''exclusion'!Q19,"")</f>
        <v xml:space="preserve"> </v>
      </c>
    </row>
    <row r="248" spans="1:2" ht="17" x14ac:dyDescent="0.2">
      <c r="A248" s="45" t="s">
        <v>2241</v>
      </c>
      <c r="B248" s="13" t="str">
        <f>IF('Indice D''exclusion'!Q20&lt;&gt;"",'Indice D''exclusion'!Q20,"")</f>
        <v xml:space="preserve"> </v>
      </c>
    </row>
    <row r="249" spans="1:2" ht="34" x14ac:dyDescent="0.2">
      <c r="A249" s="45" t="s">
        <v>2248</v>
      </c>
      <c r="B249" s="13" t="str">
        <f>IF('Indice D''exclusion'!Q26&lt;&gt;"",'Indice D''exclusion'!Q26,"")</f>
        <v xml:space="preserve">Lorem ipsum eligendi tempora qui nihil animi qui dolore consequatur  – DRAPEAU JAUNE PAR THÈME -- unde similique sed deserunt aperiam ad eligendi tempora! </v>
      </c>
    </row>
    <row r="250" spans="1:2" x14ac:dyDescent="0.2">
      <c r="A250" s="45" t="s">
        <v>2242</v>
      </c>
      <c r="B250" s="13">
        <f>IF('Indice D''exclusion'!Q22&lt;&gt;"",'Indice D''exclusion'!Q22,"")</f>
        <v>0</v>
      </c>
    </row>
    <row r="251" spans="1:2" ht="17" x14ac:dyDescent="0.2">
      <c r="A251" s="45" t="s">
        <v>2242</v>
      </c>
      <c r="B251" s="13" t="str">
        <f>IF('Indice D''exclusion'!Q23&lt;&gt;"",'Indice D''exclusion'!Q23,"")</f>
        <v xml:space="preserve"> </v>
      </c>
    </row>
    <row r="252" spans="1:2" x14ac:dyDescent="0.2">
      <c r="A252" s="45" t="s">
        <v>2242</v>
      </c>
      <c r="B252" s="13">
        <f>IF('Indice D''exclusion'!Q24&lt;&gt;"",'Indice D''exclusion'!Q24,"")</f>
        <v>0</v>
      </c>
    </row>
    <row r="253" spans="1:2" ht="17" x14ac:dyDescent="0.2">
      <c r="A253" s="45" t="s">
        <v>2242</v>
      </c>
      <c r="B253" s="13" t="str">
        <f>IF('Indice D''exclusion'!Q25&lt;&gt;"",'Indice D''exclusion'!Q25,"")</f>
        <v xml:space="preserve"> </v>
      </c>
    </row>
    <row r="254" spans="1:2" ht="17" x14ac:dyDescent="0.2">
      <c r="A254" s="45" t="s">
        <v>2249</v>
      </c>
      <c r="B254" s="13" t="str">
        <f>IF('Indice D''exclusion'!Q234&lt;&gt;"",'Indice D''exclusion'!Q34,"")</f>
        <v/>
      </c>
    </row>
    <row r="255" spans="1:2" ht="17" x14ac:dyDescent="0.2">
      <c r="A255" s="45" t="s">
        <v>2243</v>
      </c>
      <c r="B255" s="13" t="str">
        <f>IF('Indice D''exclusion'!Q31&lt;&gt;"",'Indice D''exclusion'!Q31,"")</f>
        <v xml:space="preserve"> </v>
      </c>
    </row>
    <row r="256" spans="1:2" x14ac:dyDescent="0.2">
      <c r="A256" s="45" t="s">
        <v>2243</v>
      </c>
      <c r="B256" s="13">
        <f>IF('Indice D''exclusion'!Q32&lt;&gt;"",'Indice D''exclusion'!Q32,"")</f>
        <v>0</v>
      </c>
    </row>
    <row r="257" spans="1:2" x14ac:dyDescent="0.2">
      <c r="A257" s="45" t="s">
        <v>2243</v>
      </c>
      <c r="B257" s="13">
        <f>IF('Indice D''exclusion'!Q33&lt;&gt;"",'Indice D''exclusion'!Q33,"")</f>
        <v>0</v>
      </c>
    </row>
    <row r="258" spans="1:2" x14ac:dyDescent="0.2">
      <c r="A258" s="45" t="s">
        <v>2250</v>
      </c>
      <c r="B258" s="13">
        <f>IF('Indice D''exclusion'!Q35&lt;&gt;"",'Indice D''exclusion'!Q35,"")</f>
        <v>0</v>
      </c>
    </row>
    <row r="259" spans="1:2" x14ac:dyDescent="0.2">
      <c r="A259" s="45" t="s">
        <v>2251</v>
      </c>
      <c r="B259" s="13">
        <f>IF('Indice D''exclusion'!Q36&lt;&gt;"",'Indice D''exclusion'!Q36,"")</f>
        <v>0</v>
      </c>
    </row>
    <row r="260" spans="1:2" ht="17" x14ac:dyDescent="0.2">
      <c r="B260" s="13" t="s">
        <v>2192</v>
      </c>
    </row>
    <row r="261" spans="1:2" x14ac:dyDescent="0.2">
      <c r="A261" s="1233" t="s">
        <v>2216</v>
      </c>
    </row>
    <row r="262" spans="1:2" x14ac:dyDescent="0.2">
      <c r="A262" s="1233" t="s">
        <v>2239</v>
      </c>
      <c r="B262" s="13">
        <f>IF('Indice D''exclusion'!R17&lt;&gt;"",'Indice D''exclusion'!R17,"")</f>
        <v>0</v>
      </c>
    </row>
    <row r="263" spans="1:2" x14ac:dyDescent="0.2">
      <c r="A263" s="1233" t="s">
        <v>2240</v>
      </c>
      <c r="B263" s="13">
        <f>IF('Indice D''exclusion'!R13&lt;&gt;"",'Indice D''exclusion'!R13,"")</f>
        <v>0</v>
      </c>
    </row>
    <row r="264" spans="1:2" ht="51" x14ac:dyDescent="0.2">
      <c r="A264" s="1233" t="s">
        <v>2240</v>
      </c>
      <c r="B264" s="13" t="str">
        <f>IF('Indice D''exclusion'!R14&lt;&gt;"",'Indice D''exclusion'!R14,"")</f>
        <v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row>
    <row r="265" spans="1:2" ht="17" x14ac:dyDescent="0.2">
      <c r="A265" s="1233" t="s">
        <v>2240</v>
      </c>
      <c r="B265" s="13" t="str">
        <f>IF('Indice D''exclusion'!R15&lt;&gt;"",'Indice D''exclusion'!R15,"")</f>
        <v xml:space="preserve"> </v>
      </c>
    </row>
    <row r="266" spans="1:2" ht="255" x14ac:dyDescent="0.2">
      <c r="A266" s="1233" t="s">
        <v>2240</v>
      </c>
      <c r="B266" s="13" t="str">
        <f>IF('Indice D''exclusion'!R16&lt;&gt;"",'Indice D''exclusion'!R16,"")</f>
        <v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v>
      </c>
    </row>
    <row r="267" spans="1:2" ht="17" x14ac:dyDescent="0.2">
      <c r="A267" s="1233" t="s">
        <v>2247</v>
      </c>
      <c r="B267" s="13" t="str">
        <f>IF('Indice D''exclusion'!R21&lt;&gt;"",'Indice D''exclusion'!R21,"")</f>
        <v/>
      </c>
    </row>
    <row r="268" spans="1:2" ht="17" x14ac:dyDescent="0.2">
      <c r="A268" s="1233" t="s">
        <v>2241</v>
      </c>
      <c r="B268" s="13" t="str">
        <f>IF('Indice D''exclusion'!R18&lt;&gt;"",'Indice D''exclusion'!R18,"")</f>
        <v xml:space="preserve"> </v>
      </c>
    </row>
    <row r="269" spans="1:2" ht="17" x14ac:dyDescent="0.2">
      <c r="A269" s="1233" t="s">
        <v>2241</v>
      </c>
      <c r="B269" s="13" t="str">
        <f>IF('Indice D''exclusion'!R19&lt;&gt;"",'Indice D''exclusion'!R19,"")</f>
        <v xml:space="preserve"> </v>
      </c>
    </row>
    <row r="270" spans="1:2" ht="17" x14ac:dyDescent="0.2">
      <c r="A270" s="1233" t="s">
        <v>2241</v>
      </c>
      <c r="B270" s="13" t="str">
        <f>IF('Indice D''exclusion'!R20&lt;&gt;"",'Indice D''exclusion'!R20,"")</f>
        <v xml:space="preserve"> </v>
      </c>
    </row>
    <row r="271" spans="1:2" x14ac:dyDescent="0.2">
      <c r="A271" s="1233" t="s">
        <v>2248</v>
      </c>
      <c r="B271" s="13">
        <f>IF('Indice D''exclusion'!R26&lt;&gt;"",'Indice D''exclusion'!R26,"")</f>
        <v>0</v>
      </c>
    </row>
    <row r="272" spans="1:2" x14ac:dyDescent="0.2">
      <c r="A272" s="1233" t="s">
        <v>2242</v>
      </c>
      <c r="B272" s="13">
        <f>IF('Indice D''exclusion'!R22&lt;&gt;"",'Indice D''exclusion'!R22,"")</f>
        <v>0</v>
      </c>
    </row>
    <row r="273" spans="1:5" ht="17" x14ac:dyDescent="0.2">
      <c r="A273" s="1233" t="s">
        <v>2242</v>
      </c>
      <c r="B273" s="13" t="str">
        <f>IF('Indice D''exclusion'!R23&lt;&gt;"",'Indice D''exclusion'!R23,"")</f>
        <v xml:space="preserve"> </v>
      </c>
    </row>
    <row r="274" spans="1:5" x14ac:dyDescent="0.2">
      <c r="A274" s="1233" t="s">
        <v>2242</v>
      </c>
      <c r="B274" s="13">
        <f>IF('Indice D''exclusion'!R24&lt;&gt;"",'Indice D''exclusion'!R24,"")</f>
        <v>0</v>
      </c>
    </row>
    <row r="275" spans="1:5" ht="17" x14ac:dyDescent="0.2">
      <c r="A275" s="1233" t="s">
        <v>2242</v>
      </c>
      <c r="B275" s="13" t="str">
        <f>IF('Indice D''exclusion'!R25&lt;&gt;"",'Indice D''exclusion'!R25,"")</f>
        <v xml:space="preserve"> </v>
      </c>
    </row>
    <row r="276" spans="1:5" ht="17" x14ac:dyDescent="0.2">
      <c r="A276" s="1233" t="s">
        <v>2249</v>
      </c>
      <c r="B276" s="13" t="str">
        <f>IF('Indice D''exclusion'!R30&lt;&gt;"",'Indice D''exclusion'!R30,"")</f>
        <v/>
      </c>
    </row>
    <row r="277" spans="1:5" ht="17" x14ac:dyDescent="0.2">
      <c r="A277" s="1233" t="s">
        <v>2243</v>
      </c>
      <c r="B277" s="13" t="str">
        <f>IF('Indice D''exclusion'!R27&lt;&gt;"",'Indice D''exclusion'!R27,"")</f>
        <v xml:space="preserve"> </v>
      </c>
    </row>
    <row r="278" spans="1:5" ht="17" x14ac:dyDescent="0.2">
      <c r="A278" s="1233" t="s">
        <v>2243</v>
      </c>
      <c r="B278" s="13" t="str">
        <f>IF('Indice D''exclusion'!R28&lt;&gt;"",'Indice D''exclusion'!R28,"")</f>
        <v xml:space="preserve"> </v>
      </c>
    </row>
    <row r="279" spans="1:5" ht="17" x14ac:dyDescent="0.2">
      <c r="A279" s="1233" t="s">
        <v>2243</v>
      </c>
      <c r="B279" s="13" t="str">
        <f>IF('Indice D''exclusion'!R29&lt;&gt;"",'Indice D''exclusion'!R29,"")</f>
        <v xml:space="preserve"> </v>
      </c>
    </row>
    <row r="280" spans="1:5" x14ac:dyDescent="0.2">
      <c r="A280" s="1233" t="s">
        <v>2250</v>
      </c>
      <c r="B280" s="13">
        <f>IF('Indice D''exclusion'!R35&lt;&gt;"",'Indice D''exclusion'!R35,"")</f>
        <v>0</v>
      </c>
    </row>
    <row r="281" spans="1:5" ht="51" x14ac:dyDescent="0.2">
      <c r="A281" s="1233" t="s">
        <v>2251</v>
      </c>
      <c r="B281" s="13" t="str">
        <f>IF('Indice D''exclusion'!R36&lt;&gt;"",'Indice D''exclusion'!R36,"")</f>
        <v>Appeler le nouveau conjoint "papa ou maman" peut semer de la confusion chez l'enfant et | ou affecter la valeur symbolique du parent. Par exemple : aimer un NC comme si c'était son propre parent est une chose, mais le substituer en est un autre.</v>
      </c>
    </row>
    <row r="283" spans="1:5" ht="34" x14ac:dyDescent="0.2">
      <c r="A283" t="s">
        <v>2188</v>
      </c>
      <c r="B283" s="13" t="str">
        <f>HLOOKUP(1,'Indice D''exclusion'!S11:T42,32)</f>
        <v>Nous vous recommandons de consulter la section Psychologie de l'onglet Ressources afin de comprendre les répercussions du conflit de loyauté chez votre enfant et de connaitre les meilleures pratiques en matière de coparentalité.</v>
      </c>
    </row>
    <row r="285" spans="1:5" ht="40" x14ac:dyDescent="0.25">
      <c r="A285" s="2401" t="s">
        <v>2261</v>
      </c>
      <c r="B285" s="2250" t="str">
        <f>'Contribution NC'!C2</f>
        <v xml:space="preserve">Quelle est la contribution du nouveau ou de la nouvelle conjoint·e dans la dynamique conflictuelle de coparentalité ? </v>
      </c>
    </row>
    <row r="286" spans="1:5" ht="137" customHeight="1" x14ac:dyDescent="0.2"/>
    <row r="287" spans="1:5" ht="41" customHeight="1" x14ac:dyDescent="0.2">
      <c r="A287" s="2288" t="s">
        <v>2194</v>
      </c>
      <c r="B287" s="25" t="str">
        <f>'Contribution NC'!C10</f>
        <v>Ce baromètre indique si le nouveau ou la nouvelle conjointe du coparent prend un rôle qui a un impact sur la dynamique et conséquement sur l'enfant.</v>
      </c>
      <c r="C287" s="8"/>
      <c r="D287" s="25"/>
      <c r="E287" s="25"/>
    </row>
    <row r="288" spans="1:5" ht="57" customHeight="1" x14ac:dyDescent="0.2">
      <c r="A288" s="25" t="s">
        <v>2217</v>
      </c>
      <c r="B288" s="590" t="str">
        <f>'Contribution NC'!I14</f>
        <v xml:space="preserve">L’analyse des réponses obtenues aux questionnaires révèle un degré d’implication léger de la part du nouveau ou de la nouvelle conjoint·e dans la dynamique familiale. </v>
      </c>
    </row>
    <row r="289" spans="1:2" ht="41" customHeight="1" x14ac:dyDescent="0.2">
      <c r="A289" s="2392" t="s">
        <v>2227</v>
      </c>
    </row>
    <row r="290" spans="1:2" ht="17" x14ac:dyDescent="0.2">
      <c r="A290" s="2392" t="s">
        <v>2232</v>
      </c>
      <c r="B290" s="13" t="str">
        <f>IF('Contribution NC'!I17&lt;&gt;"",'Contribution NC'!I17,"")</f>
        <v/>
      </c>
    </row>
    <row r="291" spans="1:2" ht="17" x14ac:dyDescent="0.2">
      <c r="A291" s="2392" t="s">
        <v>2186</v>
      </c>
      <c r="B291" s="13">
        <f>IF('Contribution NC'!I19&lt;&gt;"",'Contribution NC'!I19,"")</f>
        <v>0</v>
      </c>
    </row>
    <row r="292" spans="1:2" ht="17" x14ac:dyDescent="0.2">
      <c r="A292" s="2392" t="s">
        <v>2187</v>
      </c>
      <c r="B292" s="13" t="str">
        <f>IF('Contribution NC'!I21&lt;&gt;"",'Contribution NC'!I21,"")</f>
        <v/>
      </c>
    </row>
    <row r="293" spans="1:2" ht="17" x14ac:dyDescent="0.2">
      <c r="A293" s="2392" t="s">
        <v>2235</v>
      </c>
      <c r="B293" s="13" t="str">
        <f>IF('Contribution NC'!I25&lt;&gt;"",'Contribution NC'!I25,"")</f>
        <v/>
      </c>
    </row>
    <row r="294" spans="1:2" ht="34" x14ac:dyDescent="0.2">
      <c r="A294" s="2392" t="s">
        <v>2236</v>
      </c>
      <c r="B294" s="13" t="str">
        <f>IF('Contribution NC'!I33&lt;&gt;"",'Contribution NC'!I33,"")</f>
        <v>Les responsabilités du nouveau ou nouvelle conjoint·e au niveau de la logistique familiale pourraient semer une confusion chez l'enfant quant au rôle de chaque parent et de l'autorité parentale.</v>
      </c>
    </row>
    <row r="295" spans="1:2" ht="34" x14ac:dyDescent="0.2">
      <c r="A295" s="2392" t="s">
        <v>2237</v>
      </c>
      <c r="B295" s="13" t="str">
        <f>IF('Contribution NC'!I36&lt;&gt;"",'Contribution NC'!I36,"")</f>
        <v xml:space="preserve">L'affection du NC pour votre enfant et la relation es responsabilités peut créer un peu confusion chez l'enfant et/ou affecter la valeur symbolique. </v>
      </c>
    </row>
    <row r="296" spans="1:2" ht="17" x14ac:dyDescent="0.2">
      <c r="A296" s="2392" t="s">
        <v>2238</v>
      </c>
      <c r="B296" s="13">
        <f>IF('Contribution NC'!I38&lt;&gt;"",'Contribution NC'!I38,"")</f>
        <v>0</v>
      </c>
    </row>
    <row r="297" spans="1:2" ht="39" customHeight="1" x14ac:dyDescent="0.2">
      <c r="A297" s="771" t="s">
        <v>2361</v>
      </c>
      <c r="B297" s="13" t="str">
        <f>'Contribution NC'!I41</f>
        <v/>
      </c>
    </row>
    <row r="298" spans="1:2" ht="24" x14ac:dyDescent="0.3">
      <c r="A298" s="36" t="s">
        <v>2190</v>
      </c>
    </row>
    <row r="299" spans="1:2" ht="24" x14ac:dyDescent="0.3">
      <c r="A299" s="36"/>
      <c r="B299" s="13">
        <f>'Contribution NC'!P14</f>
        <v>0</v>
      </c>
    </row>
    <row r="300" spans="1:2" ht="24" x14ac:dyDescent="0.3">
      <c r="A300" s="36"/>
      <c r="B300" s="13" t="s">
        <v>2191</v>
      </c>
    </row>
    <row r="301" spans="1:2" ht="17" x14ac:dyDescent="0.2">
      <c r="A301" s="45" t="s">
        <v>2216</v>
      </c>
      <c r="B301" s="13" t="str">
        <f>IF('Cpts miroirs des parents'!T121&lt;&gt;"",'Cpts miroirs des parents'!T121,"")</f>
        <v/>
      </c>
    </row>
    <row r="302" spans="1:2" ht="17" x14ac:dyDescent="0.2">
      <c r="A302" s="45" t="s">
        <v>2232</v>
      </c>
      <c r="B302" s="13" t="str">
        <f>IF('Contribution NC'!J17&lt;&gt;"",'Contribution NC'!J17,"")</f>
        <v/>
      </c>
    </row>
    <row r="303" spans="1:2" ht="17" x14ac:dyDescent="0.2">
      <c r="A303" s="45" t="s">
        <v>2240</v>
      </c>
      <c r="B303" s="13" t="str">
        <f>IF('Contribution NC'!J15&lt;&gt;"",'Contribution NC'!J15,"")</f>
        <v/>
      </c>
    </row>
    <row r="304" spans="1:2" ht="17" x14ac:dyDescent="0.2">
      <c r="A304" s="45" t="s">
        <v>2240</v>
      </c>
      <c r="B304" s="13" t="str">
        <f>IF('Contribution NC'!J16&lt;&gt;"",'Contribution NC'!J16,"")</f>
        <v/>
      </c>
    </row>
    <row r="305" spans="1:2" ht="17" x14ac:dyDescent="0.2">
      <c r="A305" s="45" t="s">
        <v>2186</v>
      </c>
      <c r="B305" s="13" t="str">
        <f>IF('Contribution NC'!J19&lt;&gt;"",'Contribution NC'!J19,"")</f>
        <v/>
      </c>
    </row>
    <row r="306" spans="1:2" ht="17" x14ac:dyDescent="0.2">
      <c r="A306" s="45" t="s">
        <v>2241</v>
      </c>
      <c r="B306" s="13" t="str">
        <f>IF('Contribution NC'!J18&lt;&gt;"",'Contribution NC'!J18,"")</f>
        <v/>
      </c>
    </row>
    <row r="307" spans="1:2" ht="17" x14ac:dyDescent="0.2">
      <c r="A307" s="45" t="s">
        <v>2187</v>
      </c>
      <c r="B307" s="13" t="str">
        <f>IF('Contribution NC'!J21&lt;&gt;"",'Contribution NC'!J21,"")</f>
        <v/>
      </c>
    </row>
    <row r="308" spans="1:2" ht="17" x14ac:dyDescent="0.2">
      <c r="A308" s="45" t="s">
        <v>2242</v>
      </c>
      <c r="B308" s="13" t="str">
        <f>IF('Contribution NC'!J20&lt;&gt;"",'Contribution NC'!J20,"")</f>
        <v/>
      </c>
    </row>
    <row r="309" spans="1:2" ht="17" x14ac:dyDescent="0.2">
      <c r="A309" s="45" t="s">
        <v>2235</v>
      </c>
      <c r="B309" s="13" t="str">
        <f>IF('Contribution NC'!J25&lt;&gt;"",'Contribution NC'!J25,"")</f>
        <v/>
      </c>
    </row>
    <row r="310" spans="1:2" ht="17" x14ac:dyDescent="0.2">
      <c r="A310" s="45" t="s">
        <v>2243</v>
      </c>
      <c r="B310" s="13" t="str">
        <f>IF('Contribution NC'!J22&lt;&gt;"",'Contribution NC'!J22,"")</f>
        <v/>
      </c>
    </row>
    <row r="311" spans="1:2" ht="17" x14ac:dyDescent="0.2">
      <c r="A311" s="45" t="s">
        <v>2243</v>
      </c>
      <c r="B311" s="13" t="str">
        <f>IF('Contribution NC'!J23&lt;&gt;"",'Contribution NC'!J23,"")</f>
        <v/>
      </c>
    </row>
    <row r="312" spans="1:2" ht="17" x14ac:dyDescent="0.2">
      <c r="A312" s="45" t="s">
        <v>2243</v>
      </c>
      <c r="B312" s="13" t="str">
        <f>IF('Contribution NC'!J24&lt;&gt;"",'Contribution NC'!J24,"")</f>
        <v/>
      </c>
    </row>
    <row r="313" spans="1:2" ht="34" x14ac:dyDescent="0.2">
      <c r="A313" s="45" t="s">
        <v>2236</v>
      </c>
      <c r="B313" s="13" t="str">
        <f>IF('Contribution NC'!J33&lt;&gt;"",'Contribution NC'!J33,"")</f>
        <v xml:space="preserve">Lorem ipsum eligendi tempora qui nihil animi qui dolore consequatur  – DRAPEAU JAUNE PAR THÈME -- unde similique sed deserunt aperiam ad eligendi tempora! </v>
      </c>
    </row>
    <row r="314" spans="1:2" ht="17" x14ac:dyDescent="0.2">
      <c r="A314" s="45" t="s">
        <v>2244</v>
      </c>
      <c r="B314" s="13" t="str">
        <f>IF('Contribution NC'!J26&lt;&gt;"",'Contribution NC'!J26,"")</f>
        <v/>
      </c>
    </row>
    <row r="315" spans="1:2" ht="17" x14ac:dyDescent="0.2">
      <c r="A315" s="45" t="s">
        <v>2244</v>
      </c>
      <c r="B315" s="13" t="str">
        <f>IF('Contribution NC'!J27&lt;&gt;"",'Contribution NC'!J27,"")</f>
        <v/>
      </c>
    </row>
    <row r="316" spans="1:2" ht="17" x14ac:dyDescent="0.2">
      <c r="A316" s="45" t="s">
        <v>2244</v>
      </c>
      <c r="B316" s="13" t="str">
        <f>IF('Contribution NC'!J28&lt;&gt;"",'Contribution NC'!J28,"")</f>
        <v/>
      </c>
    </row>
    <row r="317" spans="1:2" ht="17" x14ac:dyDescent="0.2">
      <c r="A317" s="45" t="s">
        <v>2244</v>
      </c>
      <c r="B317" s="13" t="str">
        <f>IF('Contribution NC'!J29&lt;&gt;"",'Contribution NC'!J29,"")</f>
        <v/>
      </c>
    </row>
    <row r="318" spans="1:2" ht="17" x14ac:dyDescent="0.2">
      <c r="A318" s="45" t="s">
        <v>2244</v>
      </c>
      <c r="B318" s="13" t="str">
        <f>IF('Contribution NC'!J30&lt;&gt;"",'Contribution NC'!J30,"")</f>
        <v/>
      </c>
    </row>
    <row r="319" spans="1:2" ht="17" x14ac:dyDescent="0.2">
      <c r="A319" s="45" t="s">
        <v>2244</v>
      </c>
      <c r="B319" s="13" t="str">
        <f>IF('Contribution NC'!J31&lt;&gt;"",'Contribution NC'!J31,"")</f>
        <v/>
      </c>
    </row>
    <row r="320" spans="1:2" ht="17" x14ac:dyDescent="0.2">
      <c r="A320" s="45" t="s">
        <v>2244</v>
      </c>
      <c r="B320" s="13" t="str">
        <f>IF('Contribution NC'!J32&lt;&gt;"",'Contribution NC'!J32,"")</f>
        <v/>
      </c>
    </row>
    <row r="321" spans="1:2" ht="34" x14ac:dyDescent="0.2">
      <c r="A321" s="45" t="s">
        <v>2237</v>
      </c>
      <c r="B321" s="13" t="str">
        <f>IF('Contribution NC'!J36&lt;&gt;"",'Contribution NC'!J36,"")</f>
        <v xml:space="preserve">Lorem ipsum eligendi tempora – DRAPEAU JAUNE PAR THÈME qui nihil animi qui dolore consequatur unde similique sed deserunt aperiam ad eligendi tempora! </v>
      </c>
    </row>
    <row r="322" spans="1:2" ht="17" x14ac:dyDescent="0.2">
      <c r="A322" s="45" t="s">
        <v>2245</v>
      </c>
      <c r="B322" s="13" t="str">
        <f>IF('Contribution NC'!J34&lt;&gt;"",'Contribution NC'!J34,"")</f>
        <v/>
      </c>
    </row>
    <row r="323" spans="1:2" ht="17" x14ac:dyDescent="0.2">
      <c r="A323" s="45" t="s">
        <v>2245</v>
      </c>
      <c r="B323" s="13" t="str">
        <f>IF('Contribution NC'!J35&lt;&gt;"",'Contribution NC'!J35,"")</f>
        <v/>
      </c>
    </row>
    <row r="324" spans="1:2" ht="17" x14ac:dyDescent="0.2">
      <c r="A324" s="45" t="s">
        <v>2238</v>
      </c>
      <c r="B324" s="13" t="str">
        <f>IF('Contribution NC'!J38&lt;&gt;"",'Contribution NC'!J38,"")</f>
        <v/>
      </c>
    </row>
    <row r="325" spans="1:2" ht="17" x14ac:dyDescent="0.2">
      <c r="A325" s="45" t="s">
        <v>2246</v>
      </c>
      <c r="B325" s="13" t="str">
        <f>IF('Contribution NC'!J37&lt;&gt;"",'Contribution NC'!J37,"")</f>
        <v/>
      </c>
    </row>
    <row r="326" spans="1:2" ht="17" x14ac:dyDescent="0.2">
      <c r="B326" s="13" t="s">
        <v>2192</v>
      </c>
    </row>
    <row r="327" spans="1:2" ht="17" x14ac:dyDescent="0.2">
      <c r="A327" s="1233" t="s">
        <v>2216</v>
      </c>
      <c r="B327" s="13" t="str">
        <f>IF('Cpts miroirs des parents'!U142&lt;&gt;"",'Cpts miroirs des parents'!U142,"")</f>
        <v/>
      </c>
    </row>
    <row r="328" spans="1:2" ht="17" x14ac:dyDescent="0.2">
      <c r="A328" s="1233" t="s">
        <v>2232</v>
      </c>
      <c r="B328" s="13" t="str">
        <f>IF('Contribution NC'!K17&lt;&gt;"",'Contribution NC'!K17,"")</f>
        <v/>
      </c>
    </row>
    <row r="329" spans="1:2" ht="17" x14ac:dyDescent="0.2">
      <c r="A329" s="1233" t="s">
        <v>2240</v>
      </c>
      <c r="B329" s="13" t="str">
        <f>IF('Contribution NC'!J15&lt;&gt;"",'Contribution NC'!J15,"")</f>
        <v/>
      </c>
    </row>
    <row r="330" spans="1:2" ht="17" x14ac:dyDescent="0.2">
      <c r="A330" s="1233" t="s">
        <v>2240</v>
      </c>
      <c r="B330" s="13" t="str">
        <f>IF('Contribution NC'!J16&lt;&gt;"",'Contribution NC'!J16,"")</f>
        <v/>
      </c>
    </row>
    <row r="331" spans="1:2" ht="17" x14ac:dyDescent="0.2">
      <c r="A331" s="1233" t="s">
        <v>2186</v>
      </c>
      <c r="B331" s="13" t="str">
        <f>IF('Contribution NC'!J19&lt;&gt;"",'Contribution NC'!J19,"")</f>
        <v/>
      </c>
    </row>
    <row r="332" spans="1:2" ht="17" x14ac:dyDescent="0.2">
      <c r="A332" s="1233" t="s">
        <v>2241</v>
      </c>
      <c r="B332" s="13" t="str">
        <f>IF('Contribution NC'!J18&lt;&gt;"",'Contribution NC'!J18,"")</f>
        <v/>
      </c>
    </row>
    <row r="333" spans="1:2" ht="17" x14ac:dyDescent="0.2">
      <c r="A333" s="1233" t="s">
        <v>2187</v>
      </c>
      <c r="B333" s="13" t="str">
        <f>IF('Contribution NC'!J21&lt;&gt;"",'Contribution NC'!J21,"")</f>
        <v/>
      </c>
    </row>
    <row r="334" spans="1:2" ht="17" x14ac:dyDescent="0.2">
      <c r="A334" s="1233" t="s">
        <v>2242</v>
      </c>
      <c r="B334" s="13" t="str">
        <f>IF('Contribution NC'!J20&lt;&gt;"",'Contribution NC'!J20,"")</f>
        <v/>
      </c>
    </row>
    <row r="335" spans="1:2" ht="17" x14ac:dyDescent="0.2">
      <c r="A335" s="1233" t="s">
        <v>2235</v>
      </c>
      <c r="B335" s="13" t="str">
        <f>IF('Contribution NC'!J25&lt;&gt;"",'Contribution NC'!J25,"")</f>
        <v/>
      </c>
    </row>
    <row r="336" spans="1:2" ht="17" x14ac:dyDescent="0.2">
      <c r="A336" s="1233" t="s">
        <v>2243</v>
      </c>
      <c r="B336" s="13" t="str">
        <f>IF('Contribution NC'!J22&lt;&gt;"",'Contribution NC'!J22,"")</f>
        <v/>
      </c>
    </row>
    <row r="337" spans="1:2" ht="17" x14ac:dyDescent="0.2">
      <c r="A337" s="1233" t="s">
        <v>2243</v>
      </c>
      <c r="B337" s="13" t="str">
        <f>IF('Contribution NC'!J23&lt;&gt;"",'Contribution NC'!J23,"")</f>
        <v/>
      </c>
    </row>
    <row r="338" spans="1:2" ht="17" x14ac:dyDescent="0.2">
      <c r="A338" s="1233" t="s">
        <v>2243</v>
      </c>
      <c r="B338" s="13" t="str">
        <f>IF('Contribution NC'!J24&lt;&gt;"",'Contribution NC'!J24,"")</f>
        <v/>
      </c>
    </row>
    <row r="339" spans="1:2" ht="34" x14ac:dyDescent="0.2">
      <c r="A339" s="1233" t="s">
        <v>2236</v>
      </c>
      <c r="B339" s="13" t="str">
        <f>IF('Contribution NC'!J33&lt;&gt;"",'Contribution NC'!J33,"")</f>
        <v xml:space="preserve">Lorem ipsum eligendi tempora qui nihil animi qui dolore consequatur  – DRAPEAU JAUNE PAR THÈME -- unde similique sed deserunt aperiam ad eligendi tempora! </v>
      </c>
    </row>
    <row r="340" spans="1:2" ht="17" x14ac:dyDescent="0.2">
      <c r="A340" s="1233" t="s">
        <v>2244</v>
      </c>
      <c r="B340" s="13" t="str">
        <f>IF('Contribution NC'!J26&lt;&gt;"",'Contribution NC'!J26,"")</f>
        <v/>
      </c>
    </row>
    <row r="341" spans="1:2" ht="17" x14ac:dyDescent="0.2">
      <c r="A341" s="1233" t="s">
        <v>2244</v>
      </c>
      <c r="B341" s="13" t="str">
        <f>IF('Contribution NC'!J27&lt;&gt;"",'Contribution NC'!J27,"")</f>
        <v/>
      </c>
    </row>
    <row r="342" spans="1:2" ht="17" x14ac:dyDescent="0.2">
      <c r="A342" s="1233" t="s">
        <v>2244</v>
      </c>
      <c r="B342" s="13" t="str">
        <f>IF('Contribution NC'!J28&lt;&gt;"",'Contribution NC'!J28,"")</f>
        <v/>
      </c>
    </row>
    <row r="343" spans="1:2" ht="17" x14ac:dyDescent="0.2">
      <c r="A343" s="1233" t="s">
        <v>2244</v>
      </c>
      <c r="B343" s="13" t="str">
        <f>IF('Contribution NC'!J29&lt;&gt;"",'Contribution NC'!J29,"")</f>
        <v/>
      </c>
    </row>
    <row r="344" spans="1:2" ht="17" x14ac:dyDescent="0.2">
      <c r="A344" s="1233" t="s">
        <v>2244</v>
      </c>
      <c r="B344" s="13" t="str">
        <f>IF('Contribution NC'!J30&lt;&gt;"",'Contribution NC'!J30,"")</f>
        <v/>
      </c>
    </row>
    <row r="345" spans="1:2" ht="17" x14ac:dyDescent="0.2">
      <c r="A345" s="1233" t="s">
        <v>2244</v>
      </c>
      <c r="B345" s="13" t="str">
        <f>IF('Contribution NC'!J31&lt;&gt;"",'Contribution NC'!J31,"")</f>
        <v/>
      </c>
    </row>
    <row r="346" spans="1:2" ht="17" x14ac:dyDescent="0.2">
      <c r="A346" s="1233" t="s">
        <v>2244</v>
      </c>
      <c r="B346" s="13" t="str">
        <f>IF('Contribution NC'!J32&lt;&gt;"",'Contribution NC'!J32,"")</f>
        <v/>
      </c>
    </row>
    <row r="347" spans="1:2" ht="34" x14ac:dyDescent="0.2">
      <c r="A347" s="1233" t="s">
        <v>2237</v>
      </c>
      <c r="B347" s="13" t="str">
        <f>IF('Contribution NC'!J36&lt;&gt;"",'Contribution NC'!J36,"")</f>
        <v xml:space="preserve">Lorem ipsum eligendi tempora – DRAPEAU JAUNE PAR THÈME qui nihil animi qui dolore consequatur unde similique sed deserunt aperiam ad eligendi tempora! </v>
      </c>
    </row>
    <row r="348" spans="1:2" ht="17" x14ac:dyDescent="0.2">
      <c r="A348" s="1233" t="s">
        <v>2245</v>
      </c>
      <c r="B348" s="13" t="str">
        <f>IF('Contribution NC'!J34&lt;&gt;"",'Contribution NC'!J34,"")</f>
        <v/>
      </c>
    </row>
    <row r="349" spans="1:2" ht="17" x14ac:dyDescent="0.2">
      <c r="A349" s="1233" t="s">
        <v>2245</v>
      </c>
      <c r="B349" s="13" t="str">
        <f>IF('Contribution NC'!J35&lt;&gt;"",'Contribution NC'!J35,"")</f>
        <v/>
      </c>
    </row>
    <row r="350" spans="1:2" ht="17" x14ac:dyDescent="0.2">
      <c r="A350" s="1233" t="s">
        <v>2238</v>
      </c>
      <c r="B350" s="13" t="str">
        <f>IF('Contribution NC'!J38&lt;&gt;"",'Contribution NC'!J38,"")</f>
        <v/>
      </c>
    </row>
    <row r="351" spans="1:2" ht="17" x14ac:dyDescent="0.2">
      <c r="A351" s="1233" t="s">
        <v>2246</v>
      </c>
      <c r="B351" s="13" t="str">
        <f>IF('Contribution NC'!J37&lt;&gt;"",'Contribution NC'!J37,"")</f>
        <v/>
      </c>
    </row>
    <row r="352" spans="1:2" ht="17" x14ac:dyDescent="0.2">
      <c r="B352" s="13" t="str">
        <f>IF('Contribution NC'!J64&lt;&gt;"",'Contribution NC'!J64,"")</f>
        <v/>
      </c>
    </row>
    <row r="353" spans="1:2" ht="51" x14ac:dyDescent="0.2">
      <c r="A353" t="s">
        <v>2188</v>
      </c>
      <c r="B353" s="13" t="str">
        <f>'Contribution NC'!O42</f>
        <v>Nous vous recommandons de consulter la rubrique conflit de loyauté dans la section Psychologie de l'onglet Ressources afin de comprendre les répercussions du conflit de loyauté chez votre enfant et de  connaitre les meilleures pratiques en matière de coparentalité.</v>
      </c>
    </row>
    <row r="355" spans="1:2" ht="40" x14ac:dyDescent="0.25">
      <c r="A355" s="2401" t="s">
        <v>2364</v>
      </c>
      <c r="B355" s="2250" t="str">
        <f>'Modèle Calcul A-R + Sommaire'!BD1</f>
        <v xml:space="preserve">Comment se comporte l'enfant face à son contexte familial et face à l’exposition de comportements préjudiciables ? </v>
      </c>
    </row>
    <row r="356" spans="1:2" ht="158" customHeight="1" x14ac:dyDescent="0.35">
      <c r="A356" s="2426"/>
    </row>
    <row r="357" spans="1:2" ht="51" x14ac:dyDescent="0.2">
      <c r="A357" t="s">
        <v>2194</v>
      </c>
      <c r="B357" s="834"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row>
    <row r="358" spans="1:2" ht="57" customHeight="1" x14ac:dyDescent="0.2">
      <c r="A358" t="s">
        <v>2217</v>
      </c>
      <c r="B358" s="13" t="str">
        <f>'Modèle Calcul A-R + Sommaire'!BL7</f>
        <v xml:space="preserve">L’exposition à des comportements aliénants est susceptible d'insécuriser votre enfant et de fragiliser sa relation avec un de ses parents et d’induire un conflit de loyauté important. Les comportements aliénants participent par ailleurs à l’instrumentaliser de l'enfant dans la mission (injonction directe ou directe) de favoriser un parent au détriment de l’autre.  Voici les principaux comportements adoptés par votre enfant en réponse à son exposition aux comportements aliénants (délétères) : </v>
      </c>
    </row>
    <row r="359" spans="1:2" ht="24" customHeight="1" x14ac:dyDescent="0.2">
      <c r="A359" s="88" t="s">
        <v>2365</v>
      </c>
      <c r="B359" s="2440" t="str">
        <f>IF('Cpts miroirs des parents'!S190&lt;&gt;"",'Cpts miroirs des parents'!S190,"")</f>
        <v/>
      </c>
    </row>
    <row r="360" spans="1:2" ht="17" x14ac:dyDescent="0.2">
      <c r="A360" s="88" t="s">
        <v>2439</v>
      </c>
      <c r="B360" s="2440" t="str">
        <f>IF('TEST_pour PROTOTYPE'!F571&lt;&gt;"",'TEST_pour PROTOTYPE'!F571,"")</f>
        <v xml:space="preserve">Votre enfant change d'attitude lorsqu'il ou elle est en présence de l'autre parent. </v>
      </c>
    </row>
    <row r="361" spans="1:2" ht="102" x14ac:dyDescent="0.2">
      <c r="A361" s="2462" t="s">
        <v>2440</v>
      </c>
      <c r="B361" s="2440" t="str">
        <f>IF('TEST_pour PROTOTYPE'!F571&lt;&gt;"",'TEST_pour PROTOTYPE'!G571,"")</f>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row>
    <row r="362" spans="1:2" ht="34" customHeight="1" x14ac:dyDescent="0.2">
      <c r="A362" s="88" t="s">
        <v>2447</v>
      </c>
      <c r="B362" s="2440" t="str">
        <f>IF('TEST_pour PROTOTYPE'!F572&lt;&gt;"",'TEST_pour PROTOTYPE'!F572,"")</f>
        <v xml:space="preserve">Votre enfant n'est pas libre d'apporter ses vêtements, ses jouets ou autres effets personnels d'une maison à l'autre. </v>
      </c>
    </row>
    <row r="363" spans="1:2" ht="24" customHeight="1" x14ac:dyDescent="0.2">
      <c r="A363" s="2462" t="s">
        <v>2441</v>
      </c>
      <c r="B363" s="2440">
        <f>IF('TEST_pour PROTOTYPE'!F572&lt;&gt;"",'TEST_pour PROTOTYPE'!G572,"")</f>
        <v>0</v>
      </c>
    </row>
    <row r="364" spans="1:2" ht="24" customHeight="1" x14ac:dyDescent="0.2">
      <c r="A364" s="88" t="s">
        <v>2448</v>
      </c>
      <c r="B364" s="2440" t="str">
        <f>IF('TEST_pour PROTOTYPE'!F573&lt;&gt;"",'TEST_pour PROTOTYPE'!F573,"")</f>
        <v xml:space="preserve">Le récit du passé de votre enfant est altéré par l'autre parent qui déforme les souvenirs de votre enfant. </v>
      </c>
    </row>
    <row r="365" spans="1:2" ht="24" customHeight="1" x14ac:dyDescent="0.2">
      <c r="A365" s="2462" t="s">
        <v>2442</v>
      </c>
      <c r="B365" s="2440">
        <f>IF('TEST_pour PROTOTYPE'!F573&lt;&gt;"",'TEST_pour PROTOTYPE'!G573,"")</f>
        <v>0</v>
      </c>
    </row>
    <row r="366" spans="1:2" ht="24" customHeight="1" x14ac:dyDescent="0.2">
      <c r="A366" s="88" t="s">
        <v>2449</v>
      </c>
      <c r="B366" s="2440" t="str">
        <f>IF('TEST_pour PROTOTYPE'!F574&lt;&gt;"",'TEST_pour PROTOTYPE'!F574,"")</f>
        <v xml:space="preserve">Votre enfant est au courant des enjeux juridiques ou des conflits qui vous opposent à l'autre parent. </v>
      </c>
    </row>
    <row r="367" spans="1:2" ht="34" x14ac:dyDescent="0.2">
      <c r="A367" s="2462" t="s">
        <v>2443</v>
      </c>
      <c r="B367" s="2440" t="str">
        <f>IF('TEST_pour PROTOTYPE'!F574&lt;&gt;"",'TEST_pour PROTOTYPE'!G574,"")</f>
        <v>Méthode ADR appliquée avec exemple de réponse à venir (important de rassurer votre enfant et de recadrer sans impliquer ou blâmer l'autre parent).</v>
      </c>
    </row>
    <row r="368" spans="1:2" ht="24" customHeight="1" x14ac:dyDescent="0.2">
      <c r="A368" s="88" t="s">
        <v>2450</v>
      </c>
      <c r="B368" s="2440" t="str">
        <f>IF('TEST_pour PROTOTYPE'!F575&lt;&gt;"",'TEST_pour PROTOTYPE'!F575,"")</f>
        <v>Votre enfant subit de la pression pour passer plus de temps chez l'autre parent (par opposition à du temps en votre compagnie).</v>
      </c>
    </row>
    <row r="369" spans="1:2" ht="34" x14ac:dyDescent="0.2">
      <c r="A369" s="2462" t="s">
        <v>2444</v>
      </c>
      <c r="B369" s="2440" t="str">
        <f>IF('TEST_pour PROTOTYPE'!F575&lt;&gt;"",'TEST_pour PROTOTYPE'!G575,"")</f>
        <v>Méthode ADR appliquée avec exemple de réponse à venir (important de rassurer votre enfant et de recadrer sans impliquer ou blâmer l'autre parent).</v>
      </c>
    </row>
    <row r="370" spans="1:2" ht="24" customHeight="1" x14ac:dyDescent="0.2">
      <c r="A370" s="88" t="s">
        <v>2451</v>
      </c>
      <c r="B370" s="2440" t="str">
        <f>IF('TEST_pour PROTOTYPE'!F576&lt;&gt;"",'TEST_pour PROTOTYPE'!F576,"")</f>
        <v/>
      </c>
    </row>
    <row r="371" spans="1:2" ht="24" customHeight="1" x14ac:dyDescent="0.2">
      <c r="A371" s="2462" t="s">
        <v>2445</v>
      </c>
      <c r="B371" s="2440" t="str">
        <f>IF('TEST_pour PROTOTYPE'!F576&lt;&gt;"",'TEST_pour PROTOTYPE'!G576,"")</f>
        <v/>
      </c>
    </row>
    <row r="372" spans="1:2" ht="24" customHeight="1" x14ac:dyDescent="0.2">
      <c r="A372" s="88" t="s">
        <v>2452</v>
      </c>
      <c r="B372" s="2440" t="str">
        <f>IF('TEST_pour PROTOTYPE'!F577&lt;&gt;"",'TEST_pour PROTOTYPE'!F577,"")</f>
        <v/>
      </c>
    </row>
    <row r="373" spans="1:2" ht="24" customHeight="1" x14ac:dyDescent="0.2">
      <c r="A373" s="2462" t="s">
        <v>2446</v>
      </c>
      <c r="B373" s="2440" t="str">
        <f>IF('TEST_pour PROTOTYPE'!F5877&lt;&gt;"",'TEST_pour PROTOTYPE'!G577,"")</f>
        <v/>
      </c>
    </row>
    <row r="374" spans="1:2" ht="48" customHeight="1" x14ac:dyDescent="0.2">
      <c r="A374" s="771" t="s">
        <v>2361</v>
      </c>
      <c r="B374" s="2440"/>
    </row>
    <row r="375" spans="1:2" ht="24" x14ac:dyDescent="0.3">
      <c r="A375" s="36" t="s">
        <v>2190</v>
      </c>
    </row>
    <row r="376" spans="1:2" x14ac:dyDescent="0.2">
      <c r="B376" s="13">
        <f>'Contribution NC'!P83</f>
        <v>0</v>
      </c>
    </row>
    <row r="377" spans="1:2" ht="17" x14ac:dyDescent="0.2">
      <c r="B377" s="13" t="s">
        <v>2191</v>
      </c>
    </row>
    <row r="378" spans="1:2" x14ac:dyDescent="0.2">
      <c r="A378" t="s">
        <v>2216</v>
      </c>
    </row>
    <row r="379" spans="1:2" x14ac:dyDescent="0.2">
      <c r="A379" t="s">
        <v>2366</v>
      </c>
      <c r="B379" s="13">
        <f>IF('TEST_pour PROTOTYPE'!F571&lt;&gt;"",'TEST_pour PROTOTYPE'!H571,"")</f>
        <v>0</v>
      </c>
    </row>
    <row r="380" spans="1:2" ht="30" customHeight="1" x14ac:dyDescent="0.2">
      <c r="A380" t="s">
        <v>2367</v>
      </c>
      <c r="B380" s="13">
        <f>IF('TEST_pour PROTOTYPE'!F572&lt;&gt;"",'TEST_pour PROTOTYPE'!H572,"")</f>
        <v>0</v>
      </c>
    </row>
    <row r="381" spans="1:2" ht="40" customHeight="1" x14ac:dyDescent="0.2">
      <c r="A381" t="s">
        <v>2368</v>
      </c>
      <c r="B381" s="13">
        <f>IF('TEST_pour PROTOTYPE'!F573&lt;&gt;"",'TEST_pour PROTOTYPE'!H573,"")</f>
        <v>0</v>
      </c>
    </row>
    <row r="382" spans="1:2" x14ac:dyDescent="0.2">
      <c r="A382" t="s">
        <v>2369</v>
      </c>
      <c r="B382" s="13">
        <f>IF('TEST_pour PROTOTYPE'!F574&lt;&gt;"",'TEST_pour PROTOTYPE'!H574,"")</f>
        <v>0</v>
      </c>
    </row>
    <row r="383" spans="1:2" x14ac:dyDescent="0.2">
      <c r="A383" t="s">
        <v>2370</v>
      </c>
      <c r="B383" s="13">
        <f>IF('TEST_pour PROTOTYPE'!F575&lt;&gt;"",'TEST_pour PROTOTYPE'!H575,"")</f>
        <v>0</v>
      </c>
    </row>
    <row r="384" spans="1:2" ht="17" x14ac:dyDescent="0.2">
      <c r="A384" t="s">
        <v>2371</v>
      </c>
      <c r="B384" s="13" t="str">
        <f>IF('TEST_pour PROTOTYPE'!F576&lt;&gt;"",'TEST_pour PROTOTYPE'!H576,"")</f>
        <v/>
      </c>
    </row>
    <row r="385" spans="1:2" ht="17" x14ac:dyDescent="0.2">
      <c r="A385" t="s">
        <v>2372</v>
      </c>
      <c r="B385" s="13" t="str">
        <f>IF('TEST_pour PROTOTYPE'!F577&lt;&gt;"",'TEST_pour PROTOTYPE'!H577,"")</f>
        <v/>
      </c>
    </row>
    <row r="386" spans="1:2" x14ac:dyDescent="0.2">
      <c r="A386" t="s">
        <v>2373</v>
      </c>
    </row>
    <row r="387" spans="1:2" ht="17" x14ac:dyDescent="0.2">
      <c r="B387" s="13" t="str">
        <f>IF('Contribution NC'!J100&lt;&gt;"",'Contribution NC'!J100,"")</f>
        <v/>
      </c>
    </row>
    <row r="388" spans="1:2" ht="17" x14ac:dyDescent="0.2">
      <c r="B388" s="13" t="str">
        <f>IF('Contribution NC'!J101&lt;&gt;"",'Contribution NC'!J101,"")</f>
        <v/>
      </c>
    </row>
    <row r="389" spans="1:2" ht="17" x14ac:dyDescent="0.2">
      <c r="B389" s="13" t="s">
        <v>2192</v>
      </c>
    </row>
    <row r="390" spans="1:2" x14ac:dyDescent="0.2">
      <c r="A390" t="s">
        <v>2216</v>
      </c>
    </row>
    <row r="391" spans="1:2" x14ac:dyDescent="0.2">
      <c r="A391" t="s">
        <v>2366</v>
      </c>
      <c r="B391" s="13">
        <f>IF('TEST_pour PROTOTYPE'!F571&lt;&gt;"",'TEST_pour PROTOTYPE'!I571,"")</f>
        <v>0</v>
      </c>
    </row>
    <row r="392" spans="1:2" x14ac:dyDescent="0.2">
      <c r="A392" t="s">
        <v>2367</v>
      </c>
      <c r="B392" s="13">
        <f>IF('TEST_pour PROTOTYPE'!F572&lt;&gt;"",'TEST_pour PROTOTYPE'!I572,"")</f>
        <v>0</v>
      </c>
    </row>
    <row r="393" spans="1:2" ht="34" x14ac:dyDescent="0.2">
      <c r="A393" t="s">
        <v>2368</v>
      </c>
      <c r="B393" s="13" t="str">
        <f>IF('TEST_pour PROTOTYPE'!F573&lt;&gt;"",'TEST_pour PROTOTYPE'!I573,"")</f>
        <v>Lorem ipsum – DRAPEAU ROUGE / COMPORTEMENT AP – similique sed deserunt aperiam ad eligendi tempora! Est voluptas omnis cum expedita autem aut quod illum qui consequatur.</v>
      </c>
    </row>
    <row r="394" spans="1:2" x14ac:dyDescent="0.2">
      <c r="A394" t="s">
        <v>2369</v>
      </c>
      <c r="B394" s="13">
        <f>IF('TEST_pour PROTOTYPE'!F574&lt;&gt;"",'TEST_pour PROTOTYPE'!I574,"")</f>
        <v>0</v>
      </c>
    </row>
    <row r="395" spans="1:2" x14ac:dyDescent="0.2">
      <c r="A395" t="s">
        <v>2370</v>
      </c>
      <c r="B395" s="13">
        <f>IF('TEST_pour PROTOTYPE'!F575&lt;&gt;"",'TEST_pour PROTOTYPE'!I575,"")</f>
        <v>0</v>
      </c>
    </row>
    <row r="396" spans="1:2" ht="17" x14ac:dyDescent="0.2">
      <c r="A396" t="s">
        <v>2371</v>
      </c>
      <c r="B396" s="13" t="str">
        <f>IF('TEST_pour PROTOTYPE'!F576&lt;&gt;"",'TEST_pour PROTOTYPE'!I576,"")</f>
        <v/>
      </c>
    </row>
    <row r="397" spans="1:2" ht="17" x14ac:dyDescent="0.2">
      <c r="A397" t="s">
        <v>2372</v>
      </c>
      <c r="B397" s="13" t="str">
        <f>IF('TEST_pour PROTOTYPE'!F577&lt;&gt;"",'TEST_pour PROTOTYPE'!I577,"")</f>
        <v/>
      </c>
    </row>
    <row r="398" spans="1:2" ht="17" x14ac:dyDescent="0.2">
      <c r="A398" t="s">
        <v>2373</v>
      </c>
      <c r="B398" s="13" t="str">
        <f>IF('Contribution NC'!J94&lt;&gt;"",'Contribution NC'!J94,"")</f>
        <v/>
      </c>
    </row>
    <row r="399" spans="1:2" ht="17" x14ac:dyDescent="0.2">
      <c r="B399" s="13" t="str">
        <f>IF('Contribution NC'!J91&lt;&gt;"",'Contribution NC'!J91,"")</f>
        <v/>
      </c>
    </row>
    <row r="400" spans="1:2" ht="17" x14ac:dyDescent="0.2">
      <c r="B400" s="13" t="str">
        <f>IF('Contribution NC'!J92&lt;&gt;"",'Contribution NC'!J92,"")</f>
        <v/>
      </c>
    </row>
    <row r="401" spans="1:2" ht="17" x14ac:dyDescent="0.2">
      <c r="B401" s="13" t="str">
        <f>IF('Contribution NC'!J93&lt;&gt;"",'Contribution NC'!J93,"")</f>
        <v/>
      </c>
    </row>
    <row r="402" spans="1:2" ht="17" x14ac:dyDescent="0.2">
      <c r="B402" s="13" t="str">
        <f>IF('Contribution NC'!J102&lt;&gt;"",'Contribution NC'!J102,"")</f>
        <v/>
      </c>
    </row>
    <row r="403" spans="1:2" ht="17" x14ac:dyDescent="0.2">
      <c r="B403" s="13" t="str">
        <f>IF('Contribution NC'!J95&lt;&gt;"",'Contribution NC'!J95,"")</f>
        <v/>
      </c>
    </row>
    <row r="404" spans="1:2" ht="17" x14ac:dyDescent="0.2">
      <c r="B404" s="13" t="str">
        <f>IF('Contribution NC'!J96&lt;&gt;"",'Contribution NC'!J96,"")</f>
        <v/>
      </c>
    </row>
    <row r="405" spans="1:2" ht="17" x14ac:dyDescent="0.2">
      <c r="B405" s="13" t="str">
        <f>IF('Contribution NC'!J97&lt;&gt;"",'Contribution NC'!J97,"")</f>
        <v/>
      </c>
    </row>
    <row r="406" spans="1:2" ht="17" x14ac:dyDescent="0.2">
      <c r="B406" s="13" t="str">
        <f>IF('Contribution NC'!J133&lt;&gt;"",'Contribution NC'!J133,"")</f>
        <v/>
      </c>
    </row>
    <row r="407" spans="1:2" x14ac:dyDescent="0.2">
      <c r="A407" t="s">
        <v>2188</v>
      </c>
      <c r="B407" s="13">
        <f>'Contribution NC'!O111</f>
        <v>0</v>
      </c>
    </row>
  </sheetData>
  <mergeCells count="1">
    <mergeCell ref="C116:F116"/>
  </mergeCells>
  <phoneticPr fontId="1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AB5F-F835-AD4C-9352-B50AF0495A86}">
  <dimension ref="A1:AM47"/>
  <sheetViews>
    <sheetView topLeftCell="V32" zoomScale="80" zoomScaleNormal="80" workbookViewId="0">
      <selection activeCell="AA34" sqref="AA34"/>
    </sheetView>
  </sheetViews>
  <sheetFormatPr baseColWidth="10" defaultRowHeight="16" x14ac:dyDescent="0.2"/>
  <cols>
    <col min="1" max="2" width="10.5" customWidth="1"/>
    <col min="3" max="3" width="65.33203125" customWidth="1"/>
    <col min="4" max="4" width="12.83203125" customWidth="1"/>
    <col min="5" max="5" width="14" hidden="1" customWidth="1"/>
    <col min="6" max="6" width="4.6640625" style="5" hidden="1" customWidth="1"/>
    <col min="7" max="7" width="5.5" style="5" customWidth="1"/>
    <col min="8" max="8" width="10.83203125" customWidth="1"/>
    <col min="9" max="11" width="8.83203125" hidden="1" customWidth="1"/>
    <col min="12" max="12" width="8.83203125" style="5" hidden="1" customWidth="1"/>
    <col min="13" max="13" width="11.33203125" customWidth="1"/>
    <col min="14" max="14" width="10.1640625" customWidth="1"/>
    <col min="15" max="15" width="13.5" customWidth="1"/>
    <col min="16" max="16" width="57.33203125" customWidth="1"/>
    <col min="17" max="17" width="65.33203125" customWidth="1"/>
    <col min="18" max="18" width="45.6640625" customWidth="1"/>
    <col min="19" max="20" width="22" customWidth="1"/>
    <col min="21" max="24" width="34" customWidth="1"/>
    <col min="25" max="26" width="32.33203125" customWidth="1"/>
    <col min="27" max="27" width="34" customWidth="1"/>
    <col min="28" max="35" width="7.1640625" customWidth="1"/>
    <col min="36" max="36" width="5.5" customWidth="1"/>
    <col min="38" max="43" width="14.33203125" customWidth="1"/>
  </cols>
  <sheetData>
    <row r="1" spans="1:39" ht="42" customHeight="1" x14ac:dyDescent="0.25">
      <c r="B1" s="410" t="s">
        <v>2003</v>
      </c>
      <c r="D1" s="2325" t="s">
        <v>2182</v>
      </c>
      <c r="E1" s="2177"/>
      <c r="F1" s="2180"/>
      <c r="G1" s="2180"/>
      <c r="H1" s="2177"/>
      <c r="I1" s="2177"/>
      <c r="J1" s="2177"/>
      <c r="K1" s="2177"/>
    </row>
    <row r="2" spans="1:39" ht="80" customHeight="1" x14ac:dyDescent="0.25">
      <c r="B2" s="80" t="s">
        <v>2207</v>
      </c>
      <c r="D2" s="2373"/>
      <c r="E2" s="80"/>
      <c r="F2" s="474"/>
      <c r="G2" s="474"/>
      <c r="H2" s="80"/>
      <c r="I2" s="80"/>
      <c r="J2" s="80"/>
      <c r="K2" s="80"/>
    </row>
    <row r="3" spans="1:39" ht="35" customHeight="1" x14ac:dyDescent="0.25">
      <c r="B3" s="410"/>
      <c r="D3" s="2373"/>
      <c r="E3" s="80"/>
      <c r="F3" s="474"/>
      <c r="G3" s="474"/>
      <c r="H3" s="80"/>
      <c r="I3" s="80"/>
      <c r="J3" s="80"/>
      <c r="K3" s="80"/>
    </row>
    <row r="4" spans="1:39" ht="42" customHeight="1" x14ac:dyDescent="0.25">
      <c r="B4" s="410" t="s">
        <v>2004</v>
      </c>
      <c r="D4" s="2325" t="s">
        <v>2284</v>
      </c>
      <c r="E4" s="2177"/>
      <c r="F4" s="2180"/>
      <c r="G4" s="2180"/>
      <c r="H4" s="2177"/>
      <c r="I4" s="2177"/>
      <c r="J4" s="2177"/>
      <c r="K4" s="2177"/>
    </row>
    <row r="5" spans="1:39" ht="42" customHeight="1" x14ac:dyDescent="0.25">
      <c r="B5" s="410"/>
      <c r="S5" s="34" t="s">
        <v>2021</v>
      </c>
    </row>
    <row r="6" spans="1:39" ht="21" x14ac:dyDescent="0.25">
      <c r="B6" s="34" t="s">
        <v>1045</v>
      </c>
      <c r="S6" s="2569" t="s">
        <v>2212</v>
      </c>
      <c r="T6" s="2569"/>
      <c r="U6" s="2569"/>
      <c r="V6" s="2569"/>
      <c r="W6" s="2569"/>
      <c r="X6" s="2569"/>
      <c r="Y6" s="2564" t="s">
        <v>2213</v>
      </c>
      <c r="Z6" s="2564"/>
    </row>
    <row r="7" spans="1:39" ht="44" customHeight="1" thickBot="1" x14ac:dyDescent="0.3">
      <c r="A7" s="1875"/>
      <c r="H7" s="16" t="s">
        <v>1053</v>
      </c>
      <c r="I7" s="2536" t="s">
        <v>1069</v>
      </c>
      <c r="J7" s="2536"/>
      <c r="K7" s="2536"/>
      <c r="L7" s="2536"/>
      <c r="M7" s="2536"/>
      <c r="N7" s="1942"/>
      <c r="O7" s="1942"/>
      <c r="P7" s="2556" t="s">
        <v>2215</v>
      </c>
      <c r="Q7" s="2556"/>
      <c r="R7" s="2557"/>
      <c r="S7" s="1264" t="s">
        <v>1068</v>
      </c>
      <c r="T7" s="1264" t="s">
        <v>358</v>
      </c>
      <c r="U7" s="1264" t="s">
        <v>26</v>
      </c>
      <c r="V7" s="1264" t="s">
        <v>26</v>
      </c>
      <c r="W7" s="1264" t="s">
        <v>1524</v>
      </c>
      <c r="X7" s="1264" t="s">
        <v>1524</v>
      </c>
      <c r="Y7" s="88"/>
      <c r="Z7" s="88"/>
      <c r="AB7" s="2571" t="s">
        <v>1828</v>
      </c>
      <c r="AC7" s="2571"/>
      <c r="AD7" s="2571"/>
      <c r="AE7" s="2571"/>
      <c r="AF7" s="2571"/>
      <c r="AG7" s="2571"/>
      <c r="AH7" s="2571"/>
      <c r="AI7" s="2571"/>
    </row>
    <row r="8" spans="1:39" ht="63" customHeight="1" x14ac:dyDescent="0.2">
      <c r="D8" s="32" t="s">
        <v>502</v>
      </c>
      <c r="E8" s="25" t="s">
        <v>1864</v>
      </c>
      <c r="F8" s="1321" t="s">
        <v>22</v>
      </c>
      <c r="G8" s="1321" t="s">
        <v>226</v>
      </c>
      <c r="H8" s="1309" t="s">
        <v>1052</v>
      </c>
      <c r="I8" s="1264" t="s">
        <v>1068</v>
      </c>
      <c r="J8" s="1323" t="s">
        <v>358</v>
      </c>
      <c r="K8" s="1323" t="s">
        <v>26</v>
      </c>
      <c r="L8" s="1323" t="s">
        <v>1524</v>
      </c>
      <c r="M8" s="1264" t="s">
        <v>488</v>
      </c>
      <c r="N8" s="1264" t="s">
        <v>1858</v>
      </c>
      <c r="O8" s="1323" t="s">
        <v>1862</v>
      </c>
      <c r="P8" s="2106" t="s">
        <v>2195</v>
      </c>
      <c r="Q8" s="2072" t="s">
        <v>2183</v>
      </c>
      <c r="R8" s="2072" t="s">
        <v>2184</v>
      </c>
      <c r="S8" s="1265"/>
      <c r="T8" s="1265" t="s">
        <v>1710</v>
      </c>
      <c r="U8" s="1265" t="s">
        <v>2082</v>
      </c>
      <c r="V8" s="1265" t="s">
        <v>2083</v>
      </c>
      <c r="W8" s="1265" t="s">
        <v>2082</v>
      </c>
      <c r="X8" s="1265" t="s">
        <v>2083</v>
      </c>
      <c r="Y8" s="1323" t="s">
        <v>2001</v>
      </c>
      <c r="Z8" s="1323" t="s">
        <v>1996</v>
      </c>
      <c r="AA8" s="736"/>
      <c r="AB8" s="2568" t="s">
        <v>1068</v>
      </c>
      <c r="AC8" s="2558"/>
      <c r="AD8" s="2562" t="s">
        <v>358</v>
      </c>
      <c r="AE8" s="2562"/>
      <c r="AF8" s="2558" t="s">
        <v>26</v>
      </c>
      <c r="AG8" s="2558"/>
      <c r="AH8" s="2562" t="s">
        <v>1524</v>
      </c>
      <c r="AI8" s="2563"/>
      <c r="AK8" s="2472" t="s">
        <v>1829</v>
      </c>
      <c r="AL8" s="2472"/>
      <c r="AM8" s="2472"/>
    </row>
    <row r="9" spans="1:39" ht="49" customHeight="1" x14ac:dyDescent="0.2">
      <c r="B9" s="1602" t="s">
        <v>1850</v>
      </c>
      <c r="G9" s="1321"/>
      <c r="H9" s="1868"/>
      <c r="I9" s="1"/>
      <c r="J9" s="736"/>
      <c r="K9" s="736"/>
      <c r="L9" s="736"/>
      <c r="M9" s="1"/>
      <c r="N9" s="1"/>
      <c r="O9" s="1"/>
      <c r="P9" s="2069" t="s">
        <v>1870</v>
      </c>
      <c r="Q9" s="2071" t="s">
        <v>2193</v>
      </c>
      <c r="R9" s="2071" t="s">
        <v>1863</v>
      </c>
      <c r="S9" s="2070" t="str">
        <f>"plus petit que "&amp;AL11</f>
        <v>plus petit que 17</v>
      </c>
      <c r="T9" s="2070" t="str">
        <f>"plus petit que "&amp;AL12</f>
        <v>plus petit que 52</v>
      </c>
      <c r="U9" s="2070" t="str">
        <f>"plus petit que "&amp;AL13</f>
        <v>plus petit que 103</v>
      </c>
      <c r="V9" s="2070" t="str">
        <f>"plus petit que "&amp;AL13</f>
        <v>plus petit que 103</v>
      </c>
      <c r="W9" s="2070" t="str">
        <f>"plus grand que "&amp;AK14</f>
        <v>plus grand que 104</v>
      </c>
      <c r="X9" s="2070" t="str">
        <f>"plus grand que "&amp;AK14</f>
        <v>plus grand que 104</v>
      </c>
      <c r="Y9" s="2175"/>
      <c r="Z9" s="2175"/>
      <c r="AA9" s="2175"/>
      <c r="AB9" s="1922" t="s">
        <v>1058</v>
      </c>
      <c r="AC9" s="1824" t="s">
        <v>1059</v>
      </c>
      <c r="AD9" s="5" t="s">
        <v>1058</v>
      </c>
      <c r="AE9" s="5" t="s">
        <v>1059</v>
      </c>
      <c r="AF9" s="1824" t="s">
        <v>1058</v>
      </c>
      <c r="AG9" s="1824" t="s">
        <v>1059</v>
      </c>
      <c r="AH9" s="5" t="s">
        <v>1058</v>
      </c>
      <c r="AI9" s="1919" t="s">
        <v>1059</v>
      </c>
      <c r="AK9" t="s">
        <v>1058</v>
      </c>
      <c r="AL9" t="s">
        <v>1059</v>
      </c>
      <c r="AM9" t="s">
        <v>1810</v>
      </c>
    </row>
    <row r="10" spans="1:39" ht="49" customHeight="1" x14ac:dyDescent="0.2">
      <c r="B10" s="1602"/>
      <c r="G10" s="1321"/>
      <c r="H10" s="1868"/>
      <c r="I10" s="1"/>
      <c r="J10" s="736"/>
      <c r="K10" s="736"/>
      <c r="L10" s="736"/>
      <c r="M10" s="1"/>
      <c r="N10" s="1"/>
      <c r="O10" s="1"/>
      <c r="P10" s="2069"/>
      <c r="Q10" s="2069"/>
      <c r="R10" s="2071"/>
      <c r="S10" s="2070">
        <f>IF($H$37&lt;=$AL$11,1,0)</f>
        <v>0</v>
      </c>
      <c r="T10" s="2070">
        <f>IF(AND($H$37&gt;=$AK$12,$H$37&lt;=$AL$12),1,0)</f>
        <v>0</v>
      </c>
      <c r="U10" s="2070">
        <f>IF(AND($H$37&gt;=$AK$13,$H$37&lt;=$AL$13,Test_Bible!$P$27&lt;=2),1,0)</f>
        <v>1</v>
      </c>
      <c r="V10" s="2070">
        <f>IF(AND($H$37&gt;=$AK$13,$H$37&lt;=$AL$13,Test_Bible!$P$27&gt;2),1,0)</f>
        <v>0</v>
      </c>
      <c r="W10" s="2070">
        <f>IF(AND($H$37&gt;=$AK$14,$H$37&lt;=$AL$14,Test_Bible!$P$27&lt;=2),1,0)</f>
        <v>0</v>
      </c>
      <c r="X10" s="2070">
        <f>IF(AND($H$37&gt;=$AK$14,$H$37&lt;=$AL$14,Test_Bible!$P$27&gt;2),1,0)</f>
        <v>0</v>
      </c>
      <c r="Y10" s="2175"/>
      <c r="Z10" s="2175"/>
      <c r="AA10" s="2175"/>
      <c r="AB10" s="1922"/>
      <c r="AC10" s="1824"/>
      <c r="AD10" s="5"/>
      <c r="AE10" s="5"/>
      <c r="AF10" s="1824"/>
      <c r="AG10" s="1824"/>
      <c r="AH10" s="5"/>
      <c r="AI10" s="1919"/>
    </row>
    <row r="11" spans="1:39" ht="24" customHeight="1" x14ac:dyDescent="0.2">
      <c r="G11" s="706"/>
      <c r="H11" s="2046"/>
      <c r="I11" s="5"/>
      <c r="J11" s="706"/>
      <c r="K11" s="706"/>
      <c r="L11" s="706"/>
      <c r="M11" s="5"/>
      <c r="N11" s="5"/>
      <c r="O11" s="5"/>
      <c r="P11" s="736"/>
      <c r="Q11" s="736"/>
      <c r="R11" s="736"/>
      <c r="S11" s="1265"/>
      <c r="T11" s="1265"/>
      <c r="U11" s="2073"/>
      <c r="V11" s="2049"/>
      <c r="W11" s="2049"/>
      <c r="X11" s="2049"/>
      <c r="Y11" s="736" t="s">
        <v>2002</v>
      </c>
      <c r="Z11" s="736" t="s">
        <v>2002</v>
      </c>
      <c r="AA11" s="736"/>
      <c r="AB11" s="1922"/>
      <c r="AC11" s="1824"/>
      <c r="AF11" s="1923"/>
      <c r="AG11" s="1923"/>
      <c r="AI11" s="292"/>
      <c r="AK11" s="5">
        <f>AB32</f>
        <v>0</v>
      </c>
      <c r="AL11" s="5">
        <f>ROUND(AC32+(AD32-AC32)/2,0)</f>
        <v>17</v>
      </c>
      <c r="AM11" t="s">
        <v>1070</v>
      </c>
    </row>
    <row r="12" spans="1:39" ht="103" customHeight="1" thickBot="1" x14ac:dyDescent="0.25">
      <c r="G12" s="706"/>
      <c r="H12" s="2046"/>
      <c r="I12" s="5"/>
      <c r="J12" s="706"/>
      <c r="K12" s="706"/>
      <c r="L12" s="706"/>
      <c r="M12" s="5"/>
      <c r="N12" s="5"/>
      <c r="O12" s="53"/>
      <c r="P12" s="2045"/>
      <c r="Q12" s="16"/>
      <c r="R12" s="53" t="s">
        <v>2104</v>
      </c>
      <c r="S12" s="1265" t="s">
        <v>2166</v>
      </c>
      <c r="T12" s="1265" t="s">
        <v>2166</v>
      </c>
      <c r="U12" s="2108" t="s">
        <v>2168</v>
      </c>
      <c r="V12" s="2108" t="s">
        <v>2171</v>
      </c>
      <c r="W12" s="2108" t="s">
        <v>2175</v>
      </c>
      <c r="X12" s="2108" t="s">
        <v>2172</v>
      </c>
      <c r="Y12" s="706" t="s">
        <v>2287</v>
      </c>
      <c r="Z12" s="736"/>
      <c r="AA12" s="736"/>
      <c r="AB12" s="1922"/>
      <c r="AC12" s="1824"/>
      <c r="AF12" s="1923"/>
      <c r="AG12" s="1923"/>
      <c r="AI12" s="292"/>
      <c r="AK12" s="5">
        <f>AL11+1</f>
        <v>18</v>
      </c>
      <c r="AL12" s="5">
        <f>ROUND(AE32+(AF32-AE32)/2,0)</f>
        <v>52</v>
      </c>
      <c r="AM12" t="s">
        <v>1071</v>
      </c>
    </row>
    <row r="13" spans="1:39" ht="89" customHeight="1" thickBot="1" x14ac:dyDescent="0.25">
      <c r="A13" s="817"/>
      <c r="B13" s="834" t="str">
        <f>Test_Bible!A112</f>
        <v>PCR01</v>
      </c>
      <c r="C13" s="834" t="str">
        <f>Test_Bible!B112</f>
        <v xml:space="preserve"> </v>
      </c>
      <c r="D13" s="2559" t="s">
        <v>1853</v>
      </c>
      <c r="E13" s="834"/>
      <c r="F13" s="67">
        <f>Test_Bible!D112</f>
        <v>0</v>
      </c>
      <c r="G13" s="67">
        <f>Test_Bible!P112</f>
        <v>0</v>
      </c>
      <c r="H13" s="1871">
        <f>G13</f>
        <v>0</v>
      </c>
      <c r="I13" s="6">
        <v>0</v>
      </c>
      <c r="J13" s="1324" t="s">
        <v>1065</v>
      </c>
      <c r="K13" s="6" t="s">
        <v>1046</v>
      </c>
      <c r="L13" s="8" t="s">
        <v>1044</v>
      </c>
      <c r="M13" s="1191">
        <v>10</v>
      </c>
      <c r="N13" s="8" t="str">
        <f>IF(C13=" ","",F13*G13)</f>
        <v/>
      </c>
      <c r="O13" s="8"/>
      <c r="P13" s="2045"/>
      <c r="Q13" s="16" t="str">
        <f>IF(OR(C13=" ",$P$20="")," ",IF(O$20&gt;=$O$39,IF(H13&gt;=7,Y13," ")," "))</f>
        <v xml:space="preserve"> </v>
      </c>
      <c r="R13" s="16" t="str">
        <f>IF(OR(C13=" ",$P$20="")," ",IF(O$20&gt;=$O$39,IF(N13&gt;=O$20,Z13," ")," "))</f>
        <v xml:space="preserve"> </v>
      </c>
      <c r="S13" s="771"/>
      <c r="T13" s="771"/>
      <c r="U13" s="2261"/>
      <c r="V13" s="2262"/>
      <c r="W13" s="2263"/>
      <c r="X13" s="2262"/>
      <c r="Y13" s="2279"/>
      <c r="Z13" s="2279"/>
      <c r="AA13" s="2333"/>
      <c r="AB13" s="1926">
        <v>0</v>
      </c>
      <c r="AC13" s="591">
        <v>0</v>
      </c>
      <c r="AD13" s="88">
        <v>1</v>
      </c>
      <c r="AE13" s="88">
        <v>3</v>
      </c>
      <c r="AF13" s="88">
        <v>4</v>
      </c>
      <c r="AG13" s="88">
        <v>6</v>
      </c>
      <c r="AH13" s="88">
        <v>7</v>
      </c>
      <c r="AI13" s="1927">
        <v>10</v>
      </c>
      <c r="AK13" s="5">
        <f t="shared" ref="AK13:AK14" si="0">AL12+1</f>
        <v>53</v>
      </c>
      <c r="AL13" s="5">
        <f>ROUND(AG32+(AH32-AG32)/2,0)</f>
        <v>103</v>
      </c>
      <c r="AM13" t="s">
        <v>1072</v>
      </c>
    </row>
    <row r="14" spans="1:39" ht="33" customHeight="1" thickBot="1" x14ac:dyDescent="0.25">
      <c r="A14" s="1869"/>
      <c r="B14" s="485" t="str">
        <f>Test_Bible!A113</f>
        <v>PCR01a</v>
      </c>
      <c r="C14" s="485" t="str">
        <f>Test_Bible!B113</f>
        <v xml:space="preserve"> </v>
      </c>
      <c r="D14" s="2560"/>
      <c r="E14" s="834"/>
      <c r="F14" s="67">
        <f>Test_Bible!D113</f>
        <v>2</v>
      </c>
      <c r="G14" s="67">
        <f>Test_Bible!P113</f>
        <v>0</v>
      </c>
      <c r="H14" s="1871">
        <f t="shared" ref="H14:H15" si="1">G14</f>
        <v>0</v>
      </c>
      <c r="I14" s="1873">
        <v>0</v>
      </c>
      <c r="J14" s="2048" t="s">
        <v>1065</v>
      </c>
      <c r="K14" s="1873" t="s">
        <v>1046</v>
      </c>
      <c r="L14" s="1874" t="s">
        <v>1044</v>
      </c>
      <c r="M14" s="1191">
        <v>10</v>
      </c>
      <c r="N14" s="8" t="str">
        <f>IF(C14=" ","",F14*G14)</f>
        <v/>
      </c>
      <c r="O14" s="8"/>
      <c r="P14" s="2045"/>
      <c r="Q14" s="16" t="str">
        <f t="shared" ref="Q14:Q19" si="2">IF(OR(C14=" ",$P$20="")," ",IF(O$20&gt;=AVERAGE($O$20,$O$26,$O$32),IF(H14&gt;=7,Y14," ")," "))</f>
        <v xml:space="preserve"> </v>
      </c>
      <c r="R14" s="16" t="str">
        <f>IF(OR(C14=" ",$P$20="")," ",IF(O$20&gt;=$O$39,IF(N14&gt;=O$20,Z14," ")," "))</f>
        <v xml:space="preserve"> </v>
      </c>
      <c r="S14" s="771"/>
      <c r="T14" s="771"/>
      <c r="U14" s="2261"/>
      <c r="V14" s="2262"/>
      <c r="W14" s="2263"/>
      <c r="X14" s="2262"/>
      <c r="Y14" s="2174"/>
      <c r="Z14" s="2174"/>
      <c r="AA14" s="2333"/>
      <c r="AB14" s="1926">
        <v>0</v>
      </c>
      <c r="AC14" s="591">
        <v>0</v>
      </c>
      <c r="AD14" s="88">
        <v>1</v>
      </c>
      <c r="AE14" s="88">
        <v>3</v>
      </c>
      <c r="AF14" s="88">
        <v>4</v>
      </c>
      <c r="AG14" s="88">
        <v>6</v>
      </c>
      <c r="AH14" s="88">
        <v>7</v>
      </c>
      <c r="AI14" s="1927">
        <v>10</v>
      </c>
      <c r="AK14" s="5">
        <f t="shared" si="0"/>
        <v>104</v>
      </c>
      <c r="AL14" s="5">
        <f>AI32</f>
        <v>160</v>
      </c>
      <c r="AM14" t="s">
        <v>1073</v>
      </c>
    </row>
    <row r="15" spans="1:39" ht="33" customHeight="1" thickBot="1" x14ac:dyDescent="0.25">
      <c r="A15" s="1869"/>
      <c r="B15" s="485" t="str">
        <f>Test_Bible!A114</f>
        <v>PCR01a1</v>
      </c>
      <c r="C15" s="485" t="str">
        <f>Test_Bible!B114</f>
        <v xml:space="preserve"> </v>
      </c>
      <c r="D15" s="2560"/>
      <c r="E15" s="834"/>
      <c r="F15" s="6">
        <f>Test_Bible!D114</f>
        <v>3</v>
      </c>
      <c r="G15" s="6">
        <f>Test_Bible!P114</f>
        <v>0</v>
      </c>
      <c r="H15" s="1871">
        <f t="shared" si="1"/>
        <v>0</v>
      </c>
      <c r="I15" s="1873">
        <v>0</v>
      </c>
      <c r="J15" s="2048" t="s">
        <v>1065</v>
      </c>
      <c r="K15" s="1873" t="s">
        <v>1046</v>
      </c>
      <c r="L15" s="1874" t="s">
        <v>1044</v>
      </c>
      <c r="M15" s="1191">
        <v>10</v>
      </c>
      <c r="N15" s="8" t="str">
        <f>IF(C15=" ","",F15*G15)</f>
        <v/>
      </c>
      <c r="O15" s="8"/>
      <c r="P15" s="2045"/>
      <c r="Q15" s="16" t="str">
        <f t="shared" si="2"/>
        <v xml:space="preserve"> </v>
      </c>
      <c r="R15" s="16" t="str">
        <f t="shared" ref="R15:R19" si="3">IF(OR(C15=" ",$P$20="")," ",IF(O$20&gt;=$O$39,IF(N15&gt;=O$20,Z15," ")," "))</f>
        <v xml:space="preserve"> </v>
      </c>
      <c r="S15" s="771"/>
      <c r="T15" s="771"/>
      <c r="U15" s="2261"/>
      <c r="V15" s="2262"/>
      <c r="W15" s="2263"/>
      <c r="X15" s="2262"/>
      <c r="Y15" s="2174"/>
      <c r="Z15" s="2174"/>
      <c r="AA15" s="2333"/>
      <c r="AB15" s="1926">
        <v>0</v>
      </c>
      <c r="AC15" s="591">
        <v>0</v>
      </c>
      <c r="AD15" s="88">
        <v>1</v>
      </c>
      <c r="AE15" s="88">
        <v>3</v>
      </c>
      <c r="AF15" s="88">
        <v>4</v>
      </c>
      <c r="AG15" s="88">
        <v>6</v>
      </c>
      <c r="AH15" s="88">
        <v>7</v>
      </c>
      <c r="AI15" s="1927">
        <v>10</v>
      </c>
    </row>
    <row r="16" spans="1:39" ht="38" customHeight="1" thickBot="1" x14ac:dyDescent="0.25">
      <c r="A16" s="2266"/>
      <c r="B16" s="834" t="str">
        <f>Test_Bible!A210</f>
        <v>PFA24</v>
      </c>
      <c r="C16" s="834" t="str">
        <f>Test_Bible!B210</f>
        <v>Depuis la séparation, l’autre parent cherche à vous blesser parce qu'il considère que vous avez brisé ou abandonné la famille.</v>
      </c>
      <c r="D16" s="2560"/>
      <c r="E16" s="834"/>
      <c r="F16" s="6">
        <f>Test_Bible!D210</f>
        <v>2</v>
      </c>
      <c r="G16" s="6">
        <f>Test_Bible!P210</f>
        <v>7</v>
      </c>
      <c r="H16" s="1871">
        <f>G16</f>
        <v>7</v>
      </c>
      <c r="I16" s="6">
        <v>0</v>
      </c>
      <c r="J16" s="8">
        <v>1</v>
      </c>
      <c r="K16" s="6" t="s">
        <v>1066</v>
      </c>
      <c r="L16" s="8" t="s">
        <v>1044</v>
      </c>
      <c r="M16" s="1191">
        <v>10</v>
      </c>
      <c r="N16" s="8">
        <f>IF(C16=" ","",F16*G16)</f>
        <v>14</v>
      </c>
      <c r="O16" s="8"/>
      <c r="P16" s="2185"/>
      <c r="Q16" s="16">
        <f t="shared" si="2"/>
        <v>0</v>
      </c>
      <c r="R16" s="16">
        <f>IF(OR(C16=" ",$P$20="")," ",IF(O$20&gt;=$O$39,IF(N16&gt;=O$20,Z16," ")," "))</f>
        <v>0</v>
      </c>
      <c r="S16" s="771"/>
      <c r="T16" s="771"/>
      <c r="U16" s="2259"/>
      <c r="V16" s="2259"/>
      <c r="W16" s="2259"/>
      <c r="X16" s="2259"/>
      <c r="Y16" s="2174"/>
      <c r="Z16" s="2174"/>
      <c r="AA16" s="2333"/>
      <c r="AB16" s="1926">
        <v>0</v>
      </c>
      <c r="AC16" s="591">
        <v>0</v>
      </c>
      <c r="AD16" s="88">
        <v>1</v>
      </c>
      <c r="AE16" s="88">
        <v>1</v>
      </c>
      <c r="AF16" s="88">
        <v>2</v>
      </c>
      <c r="AG16" s="88">
        <v>6</v>
      </c>
      <c r="AH16" s="88">
        <v>7</v>
      </c>
      <c r="AI16" s="1927">
        <v>10</v>
      </c>
    </row>
    <row r="17" spans="1:37" ht="47" customHeight="1" thickBot="1" x14ac:dyDescent="0.25">
      <c r="A17" s="1869"/>
      <c r="B17" s="25" t="str">
        <f>BIBLE!E181</f>
        <v>E21</v>
      </c>
      <c r="C17" s="25" t="str">
        <f>Test_Bible!B302</f>
        <v>Les jouets et les vêtements de votre enfant se promènent d’une maison à l’autre simplement.</v>
      </c>
      <c r="D17" s="2560"/>
      <c r="E17" s="25"/>
      <c r="F17" s="6">
        <f>Test_Bible!D302</f>
        <v>1</v>
      </c>
      <c r="G17" s="6">
        <f>Test_Bible!P302</f>
        <v>7</v>
      </c>
      <c r="H17" s="1871">
        <f>G17</f>
        <v>7</v>
      </c>
      <c r="I17" s="1873" t="s">
        <v>1056</v>
      </c>
      <c r="J17" s="1874" t="s">
        <v>1054</v>
      </c>
      <c r="K17" s="1873" t="s">
        <v>1046</v>
      </c>
      <c r="L17" s="1874" t="s">
        <v>1044</v>
      </c>
      <c r="M17" s="1191">
        <v>10</v>
      </c>
      <c r="N17" s="8">
        <f>IF(C17="","",F17*G17)</f>
        <v>7</v>
      </c>
      <c r="O17" s="8"/>
      <c r="P17" s="2185"/>
      <c r="Q17" s="16">
        <f t="shared" si="2"/>
        <v>0</v>
      </c>
      <c r="R17" s="16" t="str">
        <f t="shared" si="3"/>
        <v xml:space="preserve"> </v>
      </c>
      <c r="S17" s="771"/>
      <c r="T17" s="771"/>
      <c r="U17" s="2264"/>
      <c r="V17" s="2264"/>
      <c r="W17" s="2264"/>
      <c r="X17" s="2264"/>
      <c r="Y17" s="2174"/>
      <c r="Z17" s="2174"/>
      <c r="AA17" s="2333"/>
      <c r="AB17" s="1926">
        <v>0</v>
      </c>
      <c r="AC17" s="591">
        <v>1</v>
      </c>
      <c r="AD17" s="88">
        <v>2</v>
      </c>
      <c r="AE17" s="88">
        <v>3</v>
      </c>
      <c r="AF17" s="88">
        <v>4</v>
      </c>
      <c r="AG17" s="88">
        <v>6</v>
      </c>
      <c r="AH17" s="88">
        <v>7</v>
      </c>
      <c r="AI17" s="1927">
        <v>10</v>
      </c>
    </row>
    <row r="18" spans="1:37" ht="89" customHeight="1" thickBot="1" x14ac:dyDescent="0.25">
      <c r="A18" s="1869"/>
      <c r="B18" s="25" t="str">
        <f>Test_Bible!A306</f>
        <v>E17</v>
      </c>
      <c r="C18" s="25" t="str">
        <f>Test_Bible!B306</f>
        <v xml:space="preserve">Dans quelle mesure diriez-vous que votre enfant a la responsabilité de vous communiquer les informations concernant la logistique familiale (gestion vêtements, lunch, activités, etc.) au retour d'un séjour chez l'autre parent ? </v>
      </c>
      <c r="D18" s="2560"/>
      <c r="E18" s="25"/>
      <c r="F18" s="6">
        <f>Test_Bible!D306</f>
        <v>1</v>
      </c>
      <c r="G18" s="6">
        <f>Test_Bible!P306</f>
        <v>7</v>
      </c>
      <c r="H18" s="1871">
        <f>G18</f>
        <v>7</v>
      </c>
      <c r="I18" s="1873" t="s">
        <v>1056</v>
      </c>
      <c r="J18" s="1874" t="s">
        <v>1054</v>
      </c>
      <c r="K18" s="1873" t="s">
        <v>1046</v>
      </c>
      <c r="L18" s="1874" t="s">
        <v>1044</v>
      </c>
      <c r="M18" s="1191">
        <v>10</v>
      </c>
      <c r="N18" s="8">
        <f>IF(C18=" ","",F18*G18)</f>
        <v>7</v>
      </c>
      <c r="O18" s="8"/>
      <c r="P18" s="2185"/>
      <c r="Q18" s="16" t="str">
        <f t="shared" si="2"/>
        <v xml:space="preserve">Donner à son enfant la responsabilité d’être le messager entre ses parents peut l’insécuriser, le déstabiliser et forcer un conflit de loyauté car il devient alors un acteur indirect du conflit. </v>
      </c>
      <c r="R18" s="16" t="str">
        <f t="shared" si="3"/>
        <v xml:space="preserve"> </v>
      </c>
      <c r="S18" s="771"/>
      <c r="T18" s="771"/>
      <c r="U18" s="2264"/>
      <c r="V18" s="2264"/>
      <c r="W18" s="2264"/>
      <c r="X18" s="2264"/>
      <c r="Y18" s="2321" t="s">
        <v>2285</v>
      </c>
      <c r="Z18" s="2174"/>
      <c r="AA18" s="2333"/>
      <c r="AB18" s="1926">
        <v>0</v>
      </c>
      <c r="AC18" s="591">
        <v>1</v>
      </c>
      <c r="AD18" s="88">
        <v>2</v>
      </c>
      <c r="AE18" s="88">
        <v>3</v>
      </c>
      <c r="AF18" s="88">
        <v>4</v>
      </c>
      <c r="AG18" s="88">
        <v>6</v>
      </c>
      <c r="AH18" s="88">
        <v>7</v>
      </c>
      <c r="AI18" s="1927">
        <v>10</v>
      </c>
    </row>
    <row r="19" spans="1:37" ht="33" customHeight="1" thickBot="1" x14ac:dyDescent="0.25">
      <c r="A19" s="1869"/>
      <c r="B19" s="834" t="str">
        <f>Test_Bible!A123</f>
        <v>PCR02</v>
      </c>
      <c r="C19" s="1872" t="str">
        <f>Test_Bible!B123</f>
        <v>Vous devez faire des compromis afin d'assurer une bonne entente de garde.</v>
      </c>
      <c r="D19" s="2561"/>
      <c r="F19" s="839">
        <f>Test_Bible!D123</f>
        <v>1</v>
      </c>
      <c r="G19" s="1870">
        <f>Test_Bible!P123</f>
        <v>10</v>
      </c>
      <c r="H19" s="1871">
        <f>G19</f>
        <v>10</v>
      </c>
      <c r="I19" s="1873" t="s">
        <v>1056</v>
      </c>
      <c r="J19" s="1874" t="s">
        <v>1854</v>
      </c>
      <c r="K19" s="1873" t="s">
        <v>1855</v>
      </c>
      <c r="L19" s="1874" t="s">
        <v>1856</v>
      </c>
      <c r="M19" s="1191">
        <v>10</v>
      </c>
      <c r="N19" s="8">
        <f>IF(C19=" ","",F19*G19)</f>
        <v>10</v>
      </c>
      <c r="P19" s="2045"/>
      <c r="Q19" s="16">
        <f t="shared" si="2"/>
        <v>0</v>
      </c>
      <c r="R19" s="16">
        <f t="shared" si="3"/>
        <v>0</v>
      </c>
      <c r="S19" s="771"/>
      <c r="T19" s="771"/>
      <c r="U19" s="2261"/>
      <c r="V19" s="2262"/>
      <c r="W19" s="2263"/>
      <c r="X19" s="2262"/>
      <c r="Y19" s="2280"/>
      <c r="Z19" s="2280"/>
      <c r="AA19" s="2333"/>
      <c r="AB19" s="1926">
        <v>0</v>
      </c>
      <c r="AC19" s="591">
        <v>1</v>
      </c>
      <c r="AD19" s="88">
        <v>2</v>
      </c>
      <c r="AE19" s="88">
        <v>4</v>
      </c>
      <c r="AF19" s="88">
        <v>5</v>
      </c>
      <c r="AG19" s="88">
        <v>8</v>
      </c>
      <c r="AH19" s="88">
        <v>9</v>
      </c>
      <c r="AI19" s="1927">
        <v>10</v>
      </c>
      <c r="AK19" t="s">
        <v>1868</v>
      </c>
    </row>
    <row r="20" spans="1:37" s="7" customFormat="1" ht="144" customHeight="1" thickBot="1" x14ac:dyDescent="0.25">
      <c r="B20" s="25"/>
      <c r="C20" s="2068"/>
      <c r="D20" s="2055"/>
      <c r="E20" s="2056"/>
      <c r="F20" s="2057"/>
      <c r="G20" s="2052"/>
      <c r="H20" s="2053"/>
      <c r="I20" s="2052"/>
      <c r="J20" s="2052"/>
      <c r="K20" s="2052"/>
      <c r="L20" s="2052"/>
      <c r="M20" s="2052"/>
      <c r="N20" s="2052"/>
      <c r="O20" s="2054">
        <f>AVERAGE(N13:N19)</f>
        <v>9.5</v>
      </c>
      <c r="P20" s="2326" t="str">
        <f>IF(O20&gt;=O39,HLOOKUP(1,$S$10:$X$34,11),"")</f>
        <v>On décèle un certain climat de tension qui pourrait rendre l'exercice de la coparentalité plus difficile.</v>
      </c>
      <c r="Q20" s="2326" t="str">
        <f>IF(P20="","",Y20)</f>
        <v>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v>
      </c>
      <c r="R20" s="2326">
        <f>IF(P20="","",Z20)</f>
        <v>0</v>
      </c>
      <c r="S20" s="771"/>
      <c r="T20" s="771"/>
      <c r="U20" s="2241" t="s">
        <v>2462</v>
      </c>
      <c r="V20" s="2241" t="s">
        <v>2462</v>
      </c>
      <c r="W20" s="2241" t="s">
        <v>2463</v>
      </c>
      <c r="X20" s="2241" t="s">
        <v>2463</v>
      </c>
      <c r="Y20" s="2321" t="s">
        <v>2286</v>
      </c>
      <c r="Z20" s="2173"/>
      <c r="AA20" s="677"/>
      <c r="AB20" s="2065"/>
      <c r="AC20" s="2066"/>
      <c r="AF20" s="594"/>
      <c r="AG20" s="594"/>
      <c r="AI20" s="2067"/>
    </row>
    <row r="21" spans="1:37" ht="57" customHeight="1" thickBot="1" x14ac:dyDescent="0.25">
      <c r="A21" s="1869"/>
      <c r="B21" s="7" t="str">
        <f>Test_Bible!A53</f>
        <v>B11</v>
      </c>
      <c r="C21" s="25" t="str">
        <f>Test_Bible!B53</f>
        <v>Dans quelle mesure l'entente de garde et/ou les droits d'accès sont-ils respectés ?</v>
      </c>
      <c r="D21" s="2555" t="s">
        <v>2086</v>
      </c>
      <c r="F21" s="8">
        <f>Test_Bible!D53</f>
        <v>3</v>
      </c>
      <c r="G21" s="67">
        <f>Test_Bible!P53</f>
        <v>2</v>
      </c>
      <c r="H21" s="1871">
        <f>G21</f>
        <v>2</v>
      </c>
      <c r="I21" s="1873">
        <v>0</v>
      </c>
      <c r="J21" s="1874">
        <v>1</v>
      </c>
      <c r="K21" s="1873" t="s">
        <v>1054</v>
      </c>
      <c r="L21" s="1874" t="s">
        <v>1057</v>
      </c>
      <c r="M21" s="1191">
        <v>10</v>
      </c>
      <c r="N21" s="8">
        <f t="shared" ref="N21:N25" si="4">IF(C21=" ","",F21*G21)</f>
        <v>6</v>
      </c>
      <c r="O21" s="8"/>
      <c r="P21" s="2185"/>
      <c r="Q21" s="16" t="str">
        <f>IF(OR(C21=" ",$P$26="")," ",IF(O$20&gt;=$O$39,IF(H21&gt;=7,Y21," ")," "))</f>
        <v xml:space="preserve"> </v>
      </c>
      <c r="R21" s="16" t="str">
        <f>IF(OR(C21=" ",$P$26="")," ",IF(O$20&gt;=$O$39,IF(N21&gt;=O$20,Z21," ")," "))</f>
        <v xml:space="preserve"> </v>
      </c>
      <c r="S21" s="771"/>
      <c r="T21" s="771"/>
      <c r="U21" s="2258"/>
      <c r="V21" s="2258"/>
      <c r="W21" s="2258"/>
      <c r="X21" s="2258"/>
      <c r="Y21" s="2281"/>
      <c r="Z21" s="2281"/>
      <c r="AA21" s="2333"/>
      <c r="AB21" s="1926">
        <v>0</v>
      </c>
      <c r="AC21" s="591">
        <v>0</v>
      </c>
      <c r="AD21" s="88">
        <v>1</v>
      </c>
      <c r="AE21" s="88">
        <v>1</v>
      </c>
      <c r="AF21" s="88">
        <v>2</v>
      </c>
      <c r="AG21" s="88">
        <v>3</v>
      </c>
      <c r="AH21" s="88">
        <v>4</v>
      </c>
      <c r="AI21" s="1927">
        <v>10</v>
      </c>
    </row>
    <row r="22" spans="1:37" ht="38" customHeight="1" thickBot="1" x14ac:dyDescent="0.25">
      <c r="A22" s="1869"/>
      <c r="B22" s="834" t="str">
        <f>Test_Bible!A136</f>
        <v>PCR09</v>
      </c>
      <c r="C22" s="1872" t="str">
        <f>Test_Bible!B136</f>
        <v>Vous laissez à votre enfant le droit de choisir la fréquence des visites et le temps qu'il passe chez l'autre parent.</v>
      </c>
      <c r="D22" s="2555"/>
      <c r="E22" s="2075">
        <v>12</v>
      </c>
      <c r="F22" s="16">
        <f>IF(Test_Bible!$P$40&lt;=12,Test_Bible!D136,0)</f>
        <v>3</v>
      </c>
      <c r="G22" s="16">
        <f>IF(Test_Bible!P40&lt;=12,Test_Bible!P136,0)</f>
        <v>2</v>
      </c>
      <c r="H22" s="1871">
        <f>G22</f>
        <v>2</v>
      </c>
      <c r="I22" s="1873" t="s">
        <v>1056</v>
      </c>
      <c r="J22" s="1874" t="s">
        <v>1054</v>
      </c>
      <c r="K22" s="1873" t="s">
        <v>1046</v>
      </c>
      <c r="L22" s="1874" t="s">
        <v>1044</v>
      </c>
      <c r="M22" s="1191">
        <v>10</v>
      </c>
      <c r="N22" s="8">
        <f t="shared" si="4"/>
        <v>6</v>
      </c>
      <c r="O22" s="8"/>
      <c r="P22" s="2185"/>
      <c r="Q22" s="16" t="str">
        <f t="shared" ref="Q22:Q25" si="5">IF(OR(C22=" ",$P$26="")," ",IF(O$20&gt;=$O$39,IF(H22&gt;=7,Y22," ")," "))</f>
        <v xml:space="preserve"> </v>
      </c>
      <c r="R22" s="16" t="str">
        <f t="shared" ref="R22:R25" si="6">IF(OR(C22=" ",$P$26="")," ",IF(O$20&gt;=$O$39,IF(N22&gt;=O$20,Z22," ")," "))</f>
        <v xml:space="preserve"> </v>
      </c>
      <c r="S22" s="771"/>
      <c r="T22" s="771"/>
      <c r="U22" s="2259"/>
      <c r="V22" s="2259"/>
      <c r="W22" s="2259"/>
      <c r="X22" s="2259"/>
      <c r="Y22" s="2174"/>
      <c r="Z22" s="2174"/>
      <c r="AA22" s="2333"/>
      <c r="AB22" s="1926">
        <v>0</v>
      </c>
      <c r="AC22" s="591">
        <v>1</v>
      </c>
      <c r="AD22" s="88">
        <v>2</v>
      </c>
      <c r="AE22" s="88">
        <v>3</v>
      </c>
      <c r="AF22" s="88">
        <v>4</v>
      </c>
      <c r="AG22" s="88">
        <v>6</v>
      </c>
      <c r="AH22" s="88">
        <v>7</v>
      </c>
      <c r="AI22" s="1927">
        <v>10</v>
      </c>
    </row>
    <row r="23" spans="1:37" ht="44" customHeight="1" thickBot="1" x14ac:dyDescent="0.25">
      <c r="A23" s="1869"/>
      <c r="B23" s="834" t="str">
        <f>Test_Bible!A140</f>
        <v>PCR12</v>
      </c>
      <c r="C23" s="1872" t="str">
        <f>Test_Bible!B140</f>
        <v>Il vous arrive de prendre des décisions sans consulter l'autre parent.</v>
      </c>
      <c r="D23" s="2555"/>
      <c r="E23" s="1872"/>
      <c r="F23" s="16">
        <f>Test_Bible!D140</f>
        <v>2</v>
      </c>
      <c r="G23" s="67">
        <f>Test_Bible!P140</f>
        <v>2</v>
      </c>
      <c r="H23" s="1871">
        <f>G23</f>
        <v>2</v>
      </c>
      <c r="I23" s="1873">
        <v>0</v>
      </c>
      <c r="J23" s="1874" t="s">
        <v>1034</v>
      </c>
      <c r="K23" s="1873" t="s">
        <v>1035</v>
      </c>
      <c r="L23" s="1874" t="s">
        <v>1044</v>
      </c>
      <c r="M23" s="1191">
        <v>10</v>
      </c>
      <c r="N23" s="8">
        <f t="shared" si="4"/>
        <v>4</v>
      </c>
      <c r="O23" s="8"/>
      <c r="P23" s="2185"/>
      <c r="Q23" s="16" t="str">
        <f t="shared" si="5"/>
        <v xml:space="preserve"> </v>
      </c>
      <c r="R23" s="16" t="str">
        <f t="shared" si="6"/>
        <v xml:space="preserve"> </v>
      </c>
      <c r="S23" s="771"/>
      <c r="T23" s="771"/>
      <c r="U23" s="2259"/>
      <c r="V23" s="2259"/>
      <c r="W23" s="2259"/>
      <c r="X23" s="2259"/>
      <c r="Y23" s="2320" t="s">
        <v>2181</v>
      </c>
      <c r="Z23" s="2174"/>
      <c r="AA23" s="2333"/>
      <c r="AB23" s="1926">
        <v>0</v>
      </c>
      <c r="AC23" s="591">
        <v>0</v>
      </c>
      <c r="AD23" s="88">
        <v>1</v>
      </c>
      <c r="AE23" s="88">
        <v>2</v>
      </c>
      <c r="AF23" s="88">
        <v>3</v>
      </c>
      <c r="AG23" s="88">
        <v>6</v>
      </c>
      <c r="AH23" s="88">
        <v>7</v>
      </c>
      <c r="AI23" s="1927">
        <v>10</v>
      </c>
    </row>
    <row r="24" spans="1:37" ht="38" customHeight="1" thickBot="1" x14ac:dyDescent="0.25">
      <c r="A24" s="817"/>
      <c r="B24" s="834" t="str">
        <f>Test_Bible!A197</f>
        <v>PFA17</v>
      </c>
      <c r="C24" s="834" t="str">
        <f>Test_Bible!B197</f>
        <v>L’autre parent se présente à la sortie des classes, au service de garde ou à la garderie sur votre temps de garde.</v>
      </c>
      <c r="D24" s="2555"/>
      <c r="E24" s="834"/>
      <c r="F24" s="8">
        <f>Test_Bible!D197</f>
        <v>1</v>
      </c>
      <c r="G24" s="8">
        <f>Test_Bible!P197</f>
        <v>1</v>
      </c>
      <c r="H24" s="1871">
        <f>MAX(G24,G31)</f>
        <v>2</v>
      </c>
      <c r="I24" s="6" t="s">
        <v>1056</v>
      </c>
      <c r="J24" s="1324" t="s">
        <v>1054</v>
      </c>
      <c r="K24" s="6" t="s">
        <v>1046</v>
      </c>
      <c r="L24" s="8" t="s">
        <v>1044</v>
      </c>
      <c r="M24" s="1191">
        <v>10</v>
      </c>
      <c r="N24" s="8">
        <f t="shared" si="4"/>
        <v>1</v>
      </c>
      <c r="O24" s="8"/>
      <c r="P24" s="2185"/>
      <c r="Q24" s="16" t="str">
        <f t="shared" si="5"/>
        <v xml:space="preserve"> </v>
      </c>
      <c r="R24" s="16" t="str">
        <f t="shared" si="6"/>
        <v xml:space="preserve"> </v>
      </c>
      <c r="S24" s="771"/>
      <c r="T24" s="771"/>
      <c r="U24" s="2259"/>
      <c r="V24" s="2259"/>
      <c r="W24" s="2259"/>
      <c r="X24" s="2259"/>
      <c r="Y24" s="2174"/>
      <c r="Z24" s="2174"/>
      <c r="AA24" s="2333"/>
      <c r="AB24" s="1926">
        <v>0</v>
      </c>
      <c r="AC24" s="591">
        <v>1</v>
      </c>
      <c r="AD24" s="88">
        <v>2</v>
      </c>
      <c r="AE24" s="88">
        <v>3</v>
      </c>
      <c r="AF24" s="88">
        <v>4</v>
      </c>
      <c r="AG24" s="88">
        <v>6</v>
      </c>
      <c r="AH24" s="88">
        <v>7</v>
      </c>
      <c r="AI24" s="1927">
        <v>10</v>
      </c>
    </row>
    <row r="25" spans="1:37" ht="41" customHeight="1" thickBot="1" x14ac:dyDescent="0.25">
      <c r="A25" s="2267" t="s">
        <v>2085</v>
      </c>
      <c r="B25" s="834" t="str">
        <f>Test_Bible!A134</f>
        <v>PCR07</v>
      </c>
      <c r="C25" s="1872" t="str">
        <f>Test_Bible!B134</f>
        <v>Il vous arrive de faire des reproches à l'autre parent devant votre enfant.</v>
      </c>
      <c r="D25" s="2555"/>
      <c r="E25" s="1872"/>
      <c r="F25" s="16">
        <f>Test_Bible!D134</f>
        <v>1</v>
      </c>
      <c r="G25" s="67">
        <f>Test_Bible!P134</f>
        <v>2</v>
      </c>
      <c r="H25" s="1871">
        <f>G25</f>
        <v>2</v>
      </c>
      <c r="I25" s="1873" t="s">
        <v>1056</v>
      </c>
      <c r="J25" s="1874" t="s">
        <v>1054</v>
      </c>
      <c r="K25" s="1873" t="s">
        <v>1046</v>
      </c>
      <c r="L25" s="1874" t="s">
        <v>1044</v>
      </c>
      <c r="M25" s="1191">
        <v>10</v>
      </c>
      <c r="N25" s="8">
        <f t="shared" si="4"/>
        <v>2</v>
      </c>
      <c r="O25" s="8"/>
      <c r="P25" s="2185"/>
      <c r="Q25" s="16" t="str">
        <f t="shared" si="5"/>
        <v xml:space="preserve"> </v>
      </c>
      <c r="R25" s="16" t="str">
        <f t="shared" si="6"/>
        <v xml:space="preserve"> </v>
      </c>
      <c r="S25" s="771"/>
      <c r="T25" s="771"/>
      <c r="U25" s="2265"/>
      <c r="V25" s="2265"/>
      <c r="W25" s="2265"/>
      <c r="X25" s="2265"/>
      <c r="Y25" s="2174"/>
      <c r="Z25" s="2174"/>
      <c r="AA25" s="2333"/>
      <c r="AB25" s="1926">
        <v>0</v>
      </c>
      <c r="AC25" s="591">
        <v>1</v>
      </c>
      <c r="AD25" s="88">
        <v>2</v>
      </c>
      <c r="AE25" s="88">
        <v>3</v>
      </c>
      <c r="AF25" s="88">
        <v>4</v>
      </c>
      <c r="AG25" s="88">
        <v>6</v>
      </c>
      <c r="AH25" s="88">
        <v>7</v>
      </c>
      <c r="AI25" s="1927">
        <v>10</v>
      </c>
    </row>
    <row r="26" spans="1:37" s="7" customFormat="1" ht="111" customHeight="1" thickBot="1" x14ac:dyDescent="0.25">
      <c r="D26" s="2055"/>
      <c r="E26" s="2056"/>
      <c r="F26" s="2057"/>
      <c r="G26" s="2052"/>
      <c r="H26" s="2053"/>
      <c r="I26" s="2052"/>
      <c r="J26" s="2052"/>
      <c r="K26" s="2052"/>
      <c r="L26" s="2052"/>
      <c r="M26" s="2052"/>
      <c r="N26" s="2052"/>
      <c r="O26" s="2054">
        <f>AVERAGE(N21:N25)</f>
        <v>3.8</v>
      </c>
      <c r="P26" s="2326" t="str">
        <f>IF(O26&gt;=O39,HLOOKUP(1,$S$10:$X$34,17),"")</f>
        <v/>
      </c>
      <c r="Q26" s="2326" t="str">
        <f>IF(P26="","",Y26)</f>
        <v/>
      </c>
      <c r="R26" s="2326" t="str">
        <f>IF(P26="","",Z26)</f>
        <v/>
      </c>
      <c r="S26" s="771"/>
      <c r="T26" s="771"/>
      <c r="U26" s="2241" t="s">
        <v>2169</v>
      </c>
      <c r="V26" s="2241" t="s">
        <v>2169</v>
      </c>
      <c r="W26" s="2241" t="s">
        <v>2174</v>
      </c>
      <c r="X26" s="2241" t="s">
        <v>2174</v>
      </c>
      <c r="Y26" s="2173"/>
      <c r="Z26" s="2173"/>
      <c r="AA26" s="677"/>
      <c r="AB26" s="2065"/>
      <c r="AC26" s="2066"/>
      <c r="AF26" s="594"/>
      <c r="AG26" s="594"/>
      <c r="AI26" s="2067"/>
    </row>
    <row r="27" spans="1:37" s="7" customFormat="1" ht="56" customHeight="1" x14ac:dyDescent="0.2">
      <c r="B27" s="2062" t="s">
        <v>1851</v>
      </c>
      <c r="C27" s="25"/>
      <c r="D27" s="2274"/>
      <c r="E27" s="2275"/>
      <c r="F27" s="1064"/>
      <c r="G27" s="65"/>
      <c r="H27" s="2276"/>
      <c r="I27" s="65"/>
      <c r="J27" s="65"/>
      <c r="K27" s="65"/>
      <c r="L27" s="65"/>
      <c r="M27" s="65"/>
      <c r="N27" s="65"/>
      <c r="O27" s="2255"/>
      <c r="P27" s="2274"/>
      <c r="Q27" s="16"/>
      <c r="R27" s="25"/>
      <c r="S27" s="771"/>
      <c r="T27" s="771"/>
      <c r="U27" s="2277"/>
      <c r="V27" s="2277"/>
      <c r="W27" s="2277"/>
      <c r="X27" s="2278"/>
      <c r="Y27" s="2324"/>
      <c r="Z27" s="2324"/>
      <c r="AA27" s="677"/>
      <c r="AB27" s="2063"/>
      <c r="AC27" s="557"/>
      <c r="AD27" s="68"/>
      <c r="AE27" s="68"/>
      <c r="AF27" s="68"/>
      <c r="AG27" s="68"/>
      <c r="AH27" s="68"/>
      <c r="AI27" s="2064"/>
    </row>
    <row r="28" spans="1:37" ht="40" customHeight="1" thickBot="1" x14ac:dyDescent="0.25">
      <c r="A28" s="817"/>
      <c r="B28" s="834" t="str">
        <f>Test_Bible!A216</f>
        <v>PFA26</v>
      </c>
      <c r="C28" s="834" t="str">
        <f>Test_Bible!B216</f>
        <v>L’autre parent considère que son nouveau ou nouvelle conjoint·e est un meilleur parent que vous.</v>
      </c>
      <c r="D28" s="2559" t="s">
        <v>1852</v>
      </c>
      <c r="E28" s="834"/>
      <c r="F28" s="6">
        <f>Test_Bible!D216</f>
        <v>2</v>
      </c>
      <c r="G28" s="6">
        <f>Test_Bible!P216</f>
        <v>10</v>
      </c>
      <c r="H28" s="1871">
        <f>G28</f>
        <v>10</v>
      </c>
      <c r="I28" s="6">
        <v>0</v>
      </c>
      <c r="J28" s="8" t="s">
        <v>1065</v>
      </c>
      <c r="K28" s="6" t="s">
        <v>1046</v>
      </c>
      <c r="L28" s="8" t="s">
        <v>1044</v>
      </c>
      <c r="M28" s="1191">
        <v>10</v>
      </c>
      <c r="N28" s="8">
        <f t="shared" ref="N28:N31" si="7">IF(C28=" ","",F28*G28)</f>
        <v>20</v>
      </c>
      <c r="O28" s="8"/>
      <c r="P28" s="2570"/>
      <c r="Q28" s="16">
        <f>IF(OR(C28=" ",$P$32="")," ",IF(O$20&gt;=$O$39,IF(H28&gt;=7,Y28," ")," "))</f>
        <v>0</v>
      </c>
      <c r="R28" s="16">
        <f>IF(OR(C28=" ",$P$32="")," ",IF(O$20&gt;=$O$39,IF(N28&gt;=O$20,Z28," ")," "))</f>
        <v>0</v>
      </c>
      <c r="S28" s="771"/>
      <c r="T28" s="771"/>
      <c r="U28" s="2259"/>
      <c r="V28" s="2259"/>
      <c r="W28" s="2259"/>
      <c r="X28" s="2259"/>
      <c r="Y28" s="2256"/>
      <c r="Z28" s="2256"/>
      <c r="AA28" s="25"/>
      <c r="AB28" s="1926">
        <v>0</v>
      </c>
      <c r="AC28" s="591">
        <v>0</v>
      </c>
      <c r="AD28" s="88">
        <v>1</v>
      </c>
      <c r="AE28" s="88">
        <v>3</v>
      </c>
      <c r="AF28" s="88">
        <v>4</v>
      </c>
      <c r="AG28" s="88">
        <v>6</v>
      </c>
      <c r="AH28" s="88">
        <v>7</v>
      </c>
      <c r="AI28" s="1927">
        <v>10</v>
      </c>
    </row>
    <row r="29" spans="1:37" ht="55" customHeight="1" thickBot="1" x14ac:dyDescent="0.25">
      <c r="A29" s="817"/>
      <c r="B29" s="545" t="str">
        <f>Test_Bible!A425</f>
        <v>NC15</v>
      </c>
      <c r="C29" s="834" t="str">
        <f>Test_Bible!B425</f>
        <v>Dans quelle mesure diriez-vous que votre relation avec votre enfant est fragilisée depuis l'arrivée du nouveau ou nouvelle conjoint·e ?</v>
      </c>
      <c r="D29" s="2560"/>
      <c r="E29" s="834"/>
      <c r="F29" s="6">
        <f>Test_Bible!D425</f>
        <v>2</v>
      </c>
      <c r="G29" s="6">
        <f>Test_Bible!P425</f>
        <v>10</v>
      </c>
      <c r="H29" s="1871">
        <f>G29</f>
        <v>10</v>
      </c>
      <c r="I29" s="6" t="s">
        <v>1056</v>
      </c>
      <c r="J29" s="1324" t="s">
        <v>1054</v>
      </c>
      <c r="K29" s="6" t="s">
        <v>1046</v>
      </c>
      <c r="L29" s="8" t="s">
        <v>1044</v>
      </c>
      <c r="M29" s="1191">
        <v>10</v>
      </c>
      <c r="N29" s="8">
        <f t="shared" si="7"/>
        <v>20</v>
      </c>
      <c r="O29" s="8"/>
      <c r="P29" s="2570"/>
      <c r="Q29" s="16">
        <f t="shared" ref="Q29:Q31" si="8">IF(OR(C29=" ",$P$32="")," ",IF(O$20&gt;=$O$39,IF(H29&gt;=7,Y29," ")," "))</f>
        <v>0</v>
      </c>
      <c r="R29" s="16">
        <f t="shared" ref="R29:R31" si="9">IF(OR(C29=" ",$P$32="")," ",IF(O$20&gt;=$O$39,IF(N29&gt;=O$20,Z29," ")," "))</f>
        <v>0</v>
      </c>
      <c r="S29" s="771"/>
      <c r="T29" s="771"/>
      <c r="U29" s="2259"/>
      <c r="V29" s="2259"/>
      <c r="W29" s="2259"/>
      <c r="X29" s="2259"/>
      <c r="Y29" s="2256"/>
      <c r="Z29" s="2256"/>
      <c r="AA29" s="25"/>
      <c r="AB29" s="1926">
        <v>0</v>
      </c>
      <c r="AC29" s="591">
        <v>1</v>
      </c>
      <c r="AD29" s="88">
        <v>2</v>
      </c>
      <c r="AE29" s="88">
        <v>3</v>
      </c>
      <c r="AF29" s="88">
        <v>4</v>
      </c>
      <c r="AG29" s="88">
        <v>6</v>
      </c>
      <c r="AH29" s="88">
        <v>7</v>
      </c>
      <c r="AI29" s="1927">
        <v>10</v>
      </c>
    </row>
    <row r="30" spans="1:37" s="7" customFormat="1" ht="37" customHeight="1" thickBot="1" x14ac:dyDescent="0.25">
      <c r="A30" s="1928"/>
      <c r="B30" s="21" t="str">
        <f>Test_Bible!A405</f>
        <v>NC01a</v>
      </c>
      <c r="C30" s="21" t="str">
        <f>Test_Bible!B405</f>
        <v/>
      </c>
      <c r="D30" s="2560"/>
      <c r="F30" s="6">
        <f>Test_Bible!D405</f>
        <v>2</v>
      </c>
      <c r="G30" s="6">
        <f>Test_Bible!P405</f>
        <v>0</v>
      </c>
      <c r="H30" s="1871">
        <f>G30</f>
        <v>0</v>
      </c>
      <c r="I30" s="6" t="s">
        <v>1056</v>
      </c>
      <c r="J30" s="1324" t="s">
        <v>1054</v>
      </c>
      <c r="K30" s="6" t="s">
        <v>1046</v>
      </c>
      <c r="L30" s="8" t="s">
        <v>1044</v>
      </c>
      <c r="M30" s="1191">
        <v>10</v>
      </c>
      <c r="N30" s="8">
        <f>IF(C30=" ","",F30*G30)</f>
        <v>0</v>
      </c>
      <c r="O30" s="8"/>
      <c r="P30" s="2570"/>
      <c r="Q30" s="16" t="str">
        <f t="shared" si="8"/>
        <v xml:space="preserve"> </v>
      </c>
      <c r="R30" s="16" t="str">
        <f t="shared" si="9"/>
        <v xml:space="preserve"> </v>
      </c>
      <c r="S30" s="771"/>
      <c r="T30" s="771"/>
      <c r="U30" s="2259"/>
      <c r="V30" s="2259"/>
      <c r="W30" s="2259"/>
      <c r="X30" s="2259"/>
      <c r="Y30" s="2256"/>
      <c r="Z30" s="2256"/>
      <c r="AA30" s="25"/>
      <c r="AB30" s="1926">
        <v>0</v>
      </c>
      <c r="AC30" s="591">
        <v>1</v>
      </c>
      <c r="AD30" s="88">
        <v>2</v>
      </c>
      <c r="AE30" s="88">
        <v>3</v>
      </c>
      <c r="AF30" s="88">
        <v>4</v>
      </c>
      <c r="AG30" s="88">
        <v>6</v>
      </c>
      <c r="AH30" s="88">
        <v>7</v>
      </c>
      <c r="AI30" s="1927">
        <v>10</v>
      </c>
    </row>
    <row r="31" spans="1:37" ht="54" customHeight="1" thickBot="1" x14ac:dyDescent="0.25">
      <c r="A31" s="817"/>
      <c r="B31" s="545" t="str">
        <f>Test_Bible!A419</f>
        <v>NC09</v>
      </c>
      <c r="C31" s="834" t="str">
        <f>Test_Bible!B419</f>
        <v xml:space="preserve">Le nouveau ou nouvelle conjoint·e se présente à la sortie des classes, au service de garde ou à la garderie sur votre temps de garde. </v>
      </c>
      <c r="D31" s="2561"/>
      <c r="E31" s="834"/>
      <c r="F31" s="8">
        <f>Test_Bible!D419</f>
        <v>2</v>
      </c>
      <c r="G31" s="8">
        <f>Test_Bible!P419</f>
        <v>2</v>
      </c>
      <c r="H31" s="1871">
        <f>G31</f>
        <v>2</v>
      </c>
      <c r="I31" s="6" t="s">
        <v>1056</v>
      </c>
      <c r="J31" s="1324" t="s">
        <v>1054</v>
      </c>
      <c r="K31" s="6" t="s">
        <v>1046</v>
      </c>
      <c r="L31" s="8" t="s">
        <v>1044</v>
      </c>
      <c r="M31" s="1191">
        <v>10</v>
      </c>
      <c r="N31" s="8">
        <f t="shared" si="7"/>
        <v>4</v>
      </c>
      <c r="O31" s="8"/>
      <c r="P31" s="2570"/>
      <c r="Q31" s="16" t="str">
        <f t="shared" si="8"/>
        <v xml:space="preserve"> </v>
      </c>
      <c r="R31" s="16" t="str">
        <f t="shared" si="9"/>
        <v xml:space="preserve"> </v>
      </c>
      <c r="S31" s="771"/>
      <c r="T31" s="771"/>
      <c r="U31" s="2259"/>
      <c r="V31" s="2259"/>
      <c r="W31" s="2259"/>
      <c r="X31" s="2259"/>
      <c r="Y31" s="2256"/>
      <c r="Z31" s="2256"/>
      <c r="AA31" s="25"/>
      <c r="AB31" s="1926">
        <v>0</v>
      </c>
      <c r="AC31" s="591">
        <v>1</v>
      </c>
      <c r="AD31" s="88">
        <v>2</v>
      </c>
      <c r="AE31" s="88">
        <v>3</v>
      </c>
      <c r="AF31" s="88">
        <v>4</v>
      </c>
      <c r="AG31" s="88">
        <v>6</v>
      </c>
      <c r="AH31" s="88">
        <v>7</v>
      </c>
      <c r="AI31" s="1927">
        <v>10</v>
      </c>
    </row>
    <row r="32" spans="1:37" s="7" customFormat="1" ht="132" customHeight="1" thickBot="1" x14ac:dyDescent="0.25">
      <c r="D32" s="2055"/>
      <c r="E32" s="2056"/>
      <c r="F32" s="2057"/>
      <c r="G32" s="2052"/>
      <c r="H32" s="2053"/>
      <c r="I32" s="2052"/>
      <c r="J32" s="2052"/>
      <c r="K32" s="2052"/>
      <c r="L32" s="2052"/>
      <c r="M32" s="2052"/>
      <c r="N32" s="2052"/>
      <c r="O32" s="2054">
        <f>AVERAGE(N28:N31)</f>
        <v>11</v>
      </c>
      <c r="P32" s="2326" t="str">
        <f>IF(O32&gt;=O39,HLOOKUP(1,$S$10:$X$34,23),"")</f>
        <v xml:space="preserve">L'implication et l'influence du nouveau ou de la nouvelle conjoint·e semblent nourrir certaines tensions et difficultés dans l'exercice de la coparentalité. </v>
      </c>
      <c r="Q32" s="2326">
        <f>IF(P32="","",Y32)</f>
        <v>0</v>
      </c>
      <c r="R32" s="2326">
        <f>IF(P32="","",Z32)</f>
        <v>0</v>
      </c>
      <c r="S32" s="771"/>
      <c r="T32" s="771"/>
      <c r="U32" s="2243" t="s">
        <v>2170</v>
      </c>
      <c r="V32" s="2243" t="s">
        <v>2170</v>
      </c>
      <c r="W32" s="2243" t="s">
        <v>2176</v>
      </c>
      <c r="X32" s="2243" t="s">
        <v>2176</v>
      </c>
      <c r="Y32" s="2173"/>
      <c r="Z32" s="2173"/>
      <c r="AA32" s="627"/>
      <c r="AB32" s="2058">
        <f t="shared" ref="AB32:AI32" si="10">SUM(AB13:AB31)</f>
        <v>0</v>
      </c>
      <c r="AC32" s="2059">
        <f t="shared" si="10"/>
        <v>9</v>
      </c>
      <c r="AD32" s="2060">
        <f t="shared" si="10"/>
        <v>25</v>
      </c>
      <c r="AE32" s="2060">
        <f t="shared" si="10"/>
        <v>44</v>
      </c>
      <c r="AF32" s="2059">
        <f t="shared" si="10"/>
        <v>60</v>
      </c>
      <c r="AG32" s="2059">
        <f t="shared" si="10"/>
        <v>95</v>
      </c>
      <c r="AH32" s="2060">
        <f t="shared" si="10"/>
        <v>111</v>
      </c>
      <c r="AI32" s="2061">
        <f t="shared" si="10"/>
        <v>160</v>
      </c>
    </row>
    <row r="33" spans="1:38" ht="85" customHeight="1" x14ac:dyDescent="0.2">
      <c r="A33" s="2554" t="s">
        <v>2103</v>
      </c>
      <c r="B33" s="485" t="str">
        <f>Test_Bible!A212</f>
        <v>PFA25a</v>
      </c>
      <c r="C33" s="485" t="str">
        <f>Test_Bible!B212</f>
        <v>Cette façon de s'adresser à vous devant votre enfant (prénom versus maman ou papa) est-elle habituelle ou est-ce nouveau depuis la séparation ?</v>
      </c>
      <c r="D33" s="2068"/>
      <c r="E33" s="834"/>
      <c r="F33" s="6"/>
      <c r="G33" s="8" t="str">
        <f>IF(Test_Bible!P212=1,"Normal","Nouveau")</f>
        <v>Nouveau</v>
      </c>
      <c r="H33" s="2063" t="str">
        <f>G33</f>
        <v>Nouveau</v>
      </c>
      <c r="I33" s="2268"/>
      <c r="J33" s="2269"/>
      <c r="K33" s="2269" t="str">
        <f>IF($G33="nouveau","V","F")</f>
        <v>V</v>
      </c>
      <c r="L33" s="2269" t="str">
        <f>IF($G33="nouveau","V","F")</f>
        <v>V</v>
      </c>
      <c r="M33" s="2270"/>
      <c r="N33" s="1287"/>
      <c r="O33" s="1287"/>
      <c r="P33" s="45"/>
      <c r="Q33" s="507" t="str">
        <f>IF(C33=" ","",IF(G33="Nouveau",Y33,""))</f>
        <v xml:space="preserve">Appeler le nouveau ou la nouvelle conjoint·e « papa » ou « maman » peut semer de la confusion chez l'enfant ou affecter la valeur symbolique de l’autre parent. </v>
      </c>
      <c r="R33" s="507">
        <f>IF(C33=" ","",IF(G33="Nouveau",Z33,""))</f>
        <v>0</v>
      </c>
      <c r="S33" s="771"/>
      <c r="T33" s="771"/>
      <c r="U33" s="2260"/>
      <c r="V33" s="2260"/>
      <c r="W33" s="2260"/>
      <c r="X33" s="2260"/>
      <c r="Y33" s="2320" t="s">
        <v>2180</v>
      </c>
      <c r="Z33" s="2174"/>
      <c r="AA33" s="2333"/>
      <c r="AB33" s="2346"/>
      <c r="AC33" s="5"/>
      <c r="AD33" s="5"/>
      <c r="AE33" s="5"/>
      <c r="AF33" s="5"/>
      <c r="AG33" s="5"/>
      <c r="AH33" s="5"/>
      <c r="AI33" s="1919"/>
    </row>
    <row r="34" spans="1:38" ht="92" customHeight="1" x14ac:dyDescent="0.2">
      <c r="A34" s="2554"/>
      <c r="B34" s="7" t="str">
        <f>Test_Bible!A152</f>
        <v>PCR15a</v>
      </c>
      <c r="C34" s="13" t="str">
        <f>Test_Bible!B152</f>
        <v>Avez-vous mis votre enfant au courant des enjeux juridiques (pension alimentaire, modalité de garde, etc.) qui vous oppose à l’autre parent ?</v>
      </c>
      <c r="D34" s="25"/>
      <c r="E34" s="13"/>
      <c r="F34" s="6"/>
      <c r="G34" s="8" t="str">
        <f>IF(Test_Bible!P152=1,"Oui","Non")</f>
        <v>Oui</v>
      </c>
      <c r="H34" s="2063" t="str">
        <f>G34</f>
        <v>Oui</v>
      </c>
      <c r="I34" s="2271"/>
      <c r="J34" s="2272"/>
      <c r="K34" s="2272" t="str">
        <f>IF($G34="oui","V","F")</f>
        <v>V</v>
      </c>
      <c r="L34" s="2272" t="str">
        <f>IF($G34="oui","V","F")</f>
        <v>V</v>
      </c>
      <c r="M34" s="2273"/>
      <c r="N34" s="1287"/>
      <c r="O34" s="1287"/>
      <c r="P34" s="45"/>
      <c r="Q34" s="507">
        <f>IF(C34=" ","",IF(G34="Oui",Y34,""))</f>
        <v>0</v>
      </c>
      <c r="R34" s="507" t="str">
        <f>IF(C34=" ","",IF(G34="Oui",Z34,""))</f>
        <v>Informer l'enfant des enjeux qui nous opposent à l'autre parent place l'enfant dans un conflit de loyauté.</v>
      </c>
      <c r="S34" s="771"/>
      <c r="T34" s="771"/>
      <c r="U34" s="2265"/>
      <c r="V34" s="2265"/>
      <c r="W34" s="2265"/>
      <c r="X34" s="2265"/>
      <c r="Y34" s="2174"/>
      <c r="Z34" s="2323" t="s">
        <v>2178</v>
      </c>
      <c r="AA34" s="2334"/>
      <c r="AB34" s="2346"/>
      <c r="AC34" s="5"/>
      <c r="AD34" s="5"/>
      <c r="AE34" s="5"/>
      <c r="AF34" s="5"/>
      <c r="AG34" s="5"/>
      <c r="AH34" s="5"/>
      <c r="AI34" s="1919"/>
    </row>
    <row r="35" spans="1:38" ht="136" customHeight="1" x14ac:dyDescent="0.2">
      <c r="A35" s="1296"/>
      <c r="B35" s="7" t="str">
        <f>Test_Bible!A21</f>
        <v>B03</v>
      </c>
      <c r="C35" s="25" t="str">
        <f>Test_Bible!B21</f>
        <v xml:space="preserve">Quelle a été la durée de vie commune avec l'autre parent (coparent) ?
</v>
      </c>
      <c r="D35" s="2396" t="s">
        <v>2201</v>
      </c>
      <c r="E35" s="13"/>
      <c r="F35" s="6"/>
      <c r="G35" s="8">
        <f>Test_Bible!P21</f>
        <v>1</v>
      </c>
      <c r="H35" s="2063">
        <f>G35</f>
        <v>1</v>
      </c>
      <c r="I35" s="2343"/>
      <c r="J35" s="2344"/>
      <c r="K35" s="2344"/>
      <c r="L35" s="2344"/>
      <c r="M35" s="2345"/>
      <c r="N35" s="1287"/>
      <c r="O35" s="1287"/>
      <c r="P35" s="2349" t="str">
        <f>IF(C35=" ","",IF(G35=1,HLOOKUP(1,U10:X41,26),""))</f>
        <v>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v>
      </c>
      <c r="Q35" s="507">
        <f>IF(C35=" ","",IF(G35=1,Y35,""))</f>
        <v>0</v>
      </c>
      <c r="R35" s="507">
        <f>IF(C35=" ","",IF(G35=1,Z35,""))</f>
        <v>0</v>
      </c>
      <c r="S35" s="771"/>
      <c r="T35" s="771"/>
      <c r="U35" s="2348" t="s">
        <v>2199</v>
      </c>
      <c r="V35" s="2348" t="s">
        <v>2199</v>
      </c>
      <c r="W35" s="2348" t="s">
        <v>2199</v>
      </c>
      <c r="X35" s="2348" t="s">
        <v>2199</v>
      </c>
      <c r="Y35" s="2174"/>
      <c r="Z35" s="2347"/>
      <c r="AA35" s="272"/>
      <c r="AB35" s="5"/>
      <c r="AC35" s="5"/>
      <c r="AD35" s="5"/>
      <c r="AE35" s="5"/>
      <c r="AF35" s="5"/>
      <c r="AG35" s="5"/>
      <c r="AH35" s="5"/>
      <c r="AI35" s="5"/>
    </row>
    <row r="36" spans="1:38" ht="31" customHeight="1" x14ac:dyDescent="0.2">
      <c r="B36" s="82"/>
      <c r="C36" s="82"/>
      <c r="D36" s="82"/>
      <c r="E36" s="82"/>
      <c r="F36" s="11"/>
      <c r="G36" s="11"/>
      <c r="H36" s="1272" t="s">
        <v>1026</v>
      </c>
      <c r="I36" s="2565" t="s">
        <v>1026</v>
      </c>
      <c r="J36" s="2566"/>
      <c r="K36" s="2566"/>
      <c r="L36" s="2566"/>
      <c r="M36" s="2567"/>
      <c r="AB36" s="5"/>
      <c r="AC36" s="5"/>
      <c r="AD36" s="5"/>
      <c r="AE36" s="5"/>
      <c r="AF36" s="5"/>
      <c r="AG36" s="5"/>
      <c r="AH36" s="5"/>
      <c r="AI36" s="5"/>
    </row>
    <row r="37" spans="1:38" ht="20" thickBot="1" x14ac:dyDescent="0.3">
      <c r="H37" s="1322">
        <f>SUM(H11:H31)</f>
        <v>63</v>
      </c>
      <c r="I37" s="5" t="str">
        <f>I8</f>
        <v>Absent</v>
      </c>
      <c r="J37" s="5" t="str">
        <f t="shared" ref="J37:L37" si="11">J8</f>
        <v>Faible</v>
      </c>
      <c r="K37" s="5" t="str">
        <f t="shared" si="11"/>
        <v>Modéré</v>
      </c>
      <c r="L37" s="5" t="str">
        <f t="shared" si="11"/>
        <v>Élevé</v>
      </c>
      <c r="M37" s="1312" t="s">
        <v>1027</v>
      </c>
      <c r="Z37" s="2205" t="s">
        <v>1999</v>
      </c>
      <c r="AA37" s="2205"/>
      <c r="AB37" s="5"/>
      <c r="AC37" s="5"/>
      <c r="AD37" s="5"/>
      <c r="AE37" s="5"/>
      <c r="AF37" s="5"/>
      <c r="AG37" s="5"/>
      <c r="AH37" s="5"/>
      <c r="AI37" s="5"/>
    </row>
    <row r="38" spans="1:38" x14ac:dyDescent="0.2">
      <c r="H38" s="4" t="str">
        <f>VLOOKUP(H37,AK11:AM14,3)</f>
        <v>Risque modéré</v>
      </c>
      <c r="I38" s="1918" t="str">
        <f>AK11&amp;" - "&amp;AL11</f>
        <v>0 - 17</v>
      </c>
      <c r="J38" s="1388" t="str">
        <f>AK12&amp;" - "&amp;AL12</f>
        <v>18 - 52</v>
      </c>
      <c r="K38" s="1388" t="str">
        <f>AK13&amp;" - "&amp;AL13</f>
        <v>53 - 103</v>
      </c>
      <c r="L38" s="1388" t="str">
        <f>AK14&amp;" - "&amp;AL14</f>
        <v>104 - 160</v>
      </c>
      <c r="M38" s="1314">
        <f>SUM(M13:M31)</f>
        <v>160</v>
      </c>
      <c r="N38" s="90"/>
      <c r="O38" s="90"/>
      <c r="S38" s="1264" t="s">
        <v>1068</v>
      </c>
      <c r="T38" s="1264" t="s">
        <v>358</v>
      </c>
      <c r="U38" s="1264" t="s">
        <v>26</v>
      </c>
      <c r="V38" s="1264" t="s">
        <v>26</v>
      </c>
      <c r="W38" s="1264" t="s">
        <v>1524</v>
      </c>
      <c r="X38" s="1264" t="s">
        <v>1524</v>
      </c>
      <c r="Z38" s="2205" t="s">
        <v>1997</v>
      </c>
      <c r="AA38" s="2205"/>
      <c r="AD38" s="5"/>
      <c r="AE38" s="5"/>
      <c r="AF38" s="5"/>
      <c r="AG38" s="5"/>
      <c r="AH38" s="5"/>
      <c r="AI38" s="5"/>
    </row>
    <row r="39" spans="1:38" ht="25" customHeight="1" x14ac:dyDescent="0.2">
      <c r="N39" t="s">
        <v>2220</v>
      </c>
      <c r="O39" s="90">
        <f>AVERAGE(O20,O26,O32)</f>
        <v>8.1</v>
      </c>
      <c r="U39" s="5" t="s">
        <v>2024</v>
      </c>
      <c r="V39" s="5" t="s">
        <v>2023</v>
      </c>
      <c r="W39" s="5" t="s">
        <v>2024</v>
      </c>
      <c r="X39" s="5" t="s">
        <v>2023</v>
      </c>
      <c r="Y39" s="32"/>
      <c r="Z39" s="15"/>
      <c r="AA39" s="15"/>
    </row>
    <row r="40" spans="1:38" ht="75" customHeight="1" x14ac:dyDescent="0.2">
      <c r="D40" s="2420" t="s">
        <v>2211</v>
      </c>
      <c r="K40" s="5"/>
      <c r="M40" s="5"/>
      <c r="N40" s="5"/>
      <c r="O40" s="5"/>
      <c r="P40" s="2144" t="str">
        <f>IF(HLOOKUP(1,U10:X41,31)="","",HLOOKUP(1,U10:X41,31))</f>
        <v/>
      </c>
      <c r="R40" s="7"/>
      <c r="S40" s="2242"/>
      <c r="T40" s="2242"/>
      <c r="U40" s="2322"/>
      <c r="V40" s="2322"/>
      <c r="W40" s="2322"/>
      <c r="X40" s="2322"/>
      <c r="Y40" s="2425"/>
      <c r="Z40" s="2425"/>
    </row>
    <row r="41" spans="1:38" ht="163" customHeight="1" x14ac:dyDescent="0.2">
      <c r="D41" s="17" t="s">
        <v>2179</v>
      </c>
      <c r="H41" s="5"/>
      <c r="I41" s="5"/>
      <c r="J41" s="5"/>
      <c r="K41" s="5"/>
      <c r="R41" s="2332"/>
      <c r="S41" s="1838" t="s">
        <v>2167</v>
      </c>
      <c r="T41" s="1838" t="s">
        <v>2167</v>
      </c>
      <c r="U41" s="1838" t="s">
        <v>2173</v>
      </c>
      <c r="V41" s="1838" t="s">
        <v>2173</v>
      </c>
      <c r="W41" s="1838" t="s">
        <v>2177</v>
      </c>
      <c r="X41" s="1838" t="s">
        <v>2177</v>
      </c>
      <c r="AI41" s="55"/>
      <c r="AL41" s="5"/>
    </row>
    <row r="42" spans="1:38" ht="116" customHeight="1" x14ac:dyDescent="0.2">
      <c r="H42" s="5"/>
      <c r="I42" s="5"/>
      <c r="J42" s="5"/>
      <c r="K42" s="5"/>
    </row>
    <row r="43" spans="1:38" x14ac:dyDescent="0.2">
      <c r="H43" s="5"/>
      <c r="I43" s="5"/>
      <c r="J43" s="5"/>
      <c r="K43" s="5"/>
      <c r="U43" t="s">
        <v>2084</v>
      </c>
    </row>
    <row r="44" spans="1:38" x14ac:dyDescent="0.2">
      <c r="H44" s="5"/>
      <c r="I44" s="5"/>
      <c r="J44" s="5"/>
      <c r="K44" s="5"/>
    </row>
    <row r="45" spans="1:38" x14ac:dyDescent="0.2">
      <c r="H45" s="5"/>
      <c r="I45" s="5"/>
      <c r="J45" s="5"/>
      <c r="K45" s="5"/>
    </row>
    <row r="46" spans="1:38" x14ac:dyDescent="0.2">
      <c r="H46" s="5"/>
      <c r="I46" s="5"/>
      <c r="J46" s="5"/>
      <c r="K46" s="5"/>
    </row>
    <row r="47" spans="1:38" x14ac:dyDescent="0.2">
      <c r="M47" s="291"/>
      <c r="N47" s="291"/>
      <c r="O47" s="291"/>
    </row>
  </sheetData>
  <mergeCells count="16">
    <mergeCell ref="Y6:Z6"/>
    <mergeCell ref="I36:M36"/>
    <mergeCell ref="I7:M7"/>
    <mergeCell ref="AB8:AC8"/>
    <mergeCell ref="AD8:AE8"/>
    <mergeCell ref="S6:X6"/>
    <mergeCell ref="P28:P31"/>
    <mergeCell ref="AB7:AI7"/>
    <mergeCell ref="A33:A34"/>
    <mergeCell ref="D21:D25"/>
    <mergeCell ref="P7:R7"/>
    <mergeCell ref="AK8:AM8"/>
    <mergeCell ref="AF8:AG8"/>
    <mergeCell ref="D28:D31"/>
    <mergeCell ref="D13:D19"/>
    <mergeCell ref="AH8:AI8"/>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D0B7-2C82-8B48-B052-22D5D16638EF}">
  <sheetPr>
    <pageSetUpPr fitToPage="1"/>
  </sheetPr>
  <dimension ref="A1:AD146"/>
  <sheetViews>
    <sheetView topLeftCell="A20" zoomScale="80" zoomScaleNormal="80" workbookViewId="0">
      <selection activeCell="I18" sqref="I18"/>
    </sheetView>
  </sheetViews>
  <sheetFormatPr baseColWidth="10" defaultRowHeight="16" x14ac:dyDescent="0.2"/>
  <cols>
    <col min="1" max="1" width="15" customWidth="1"/>
    <col min="2" max="2" width="26.33203125" customWidth="1"/>
    <col min="3" max="3" width="10" customWidth="1"/>
    <col min="4" max="4" width="39.5" customWidth="1"/>
    <col min="5" max="5" width="8.33203125" bestFit="1" customWidth="1"/>
    <col min="6" max="6" width="9.83203125" style="5" bestFit="1" customWidth="1"/>
    <col min="7" max="7" width="9.1640625" style="5" bestFit="1" customWidth="1"/>
    <col min="8" max="8" width="19.1640625" customWidth="1"/>
    <col min="9" max="9" width="5" customWidth="1"/>
    <col min="10" max="10" width="8.5" customWidth="1"/>
    <col min="11" max="11" width="51" customWidth="1"/>
    <col min="12" max="12" width="8.33203125" bestFit="1" customWidth="1"/>
    <col min="13" max="13" width="9.83203125" style="5" bestFit="1" customWidth="1"/>
    <col min="14" max="14" width="9.1640625" style="5" bestFit="1" customWidth="1"/>
    <col min="15" max="15" width="14.5" bestFit="1" customWidth="1"/>
    <col min="16" max="16" width="4.1640625" customWidth="1"/>
    <col min="17" max="17" width="23.33203125" bestFit="1" customWidth="1"/>
    <col min="18" max="18" width="25.5" style="5" bestFit="1" customWidth="1"/>
    <col min="19" max="21" width="42.83203125" style="5" customWidth="1"/>
    <col min="22" max="22" width="47.1640625" customWidth="1"/>
    <col min="23" max="23" width="54.1640625" customWidth="1"/>
    <col min="24" max="24" width="63.33203125" customWidth="1"/>
    <col min="25" max="25" width="50.33203125" customWidth="1"/>
    <col min="26" max="26" width="22.6640625" customWidth="1"/>
    <col min="27" max="27" width="20.6640625" customWidth="1"/>
    <col min="28" max="28" width="25.5" customWidth="1"/>
  </cols>
  <sheetData>
    <row r="1" spans="1:28" ht="26" x14ac:dyDescent="0.3">
      <c r="B1" s="606" t="s">
        <v>2288</v>
      </c>
      <c r="R1" s="1939"/>
      <c r="S1" s="1939"/>
      <c r="T1" s="1939"/>
      <c r="U1" s="1939"/>
    </row>
    <row r="2" spans="1:28" ht="24" x14ac:dyDescent="0.3">
      <c r="B2" s="80"/>
      <c r="R2" s="1939"/>
      <c r="S2" s="1939"/>
      <c r="T2" s="1939"/>
      <c r="U2" s="1939"/>
    </row>
    <row r="3" spans="1:28" ht="19" x14ac:dyDescent="0.25">
      <c r="B3" s="410" t="s">
        <v>2005</v>
      </c>
      <c r="C3" s="410"/>
    </row>
    <row r="4" spans="1:28" ht="24" x14ac:dyDescent="0.3">
      <c r="B4" s="410"/>
      <c r="C4" s="410" t="s">
        <v>2090</v>
      </c>
      <c r="R4" s="732"/>
      <c r="S4" s="732"/>
      <c r="T4" s="732"/>
      <c r="U4" s="732"/>
    </row>
    <row r="5" spans="1:28" ht="19" x14ac:dyDescent="0.25">
      <c r="B5" s="410" t="s">
        <v>2006</v>
      </c>
      <c r="C5" s="410"/>
      <c r="D5" s="2177" t="s">
        <v>2271</v>
      </c>
      <c r="E5" s="1460"/>
      <c r="F5" s="1461"/>
      <c r="G5" s="1461"/>
      <c r="H5" s="1460"/>
      <c r="I5" s="1460"/>
      <c r="J5" s="1460"/>
      <c r="K5" s="1460"/>
    </row>
    <row r="6" spans="1:28" ht="147" customHeight="1" x14ac:dyDescent="0.25">
      <c r="B6" s="410"/>
      <c r="C6" s="410"/>
      <c r="D6" s="80"/>
    </row>
    <row r="7" spans="1:28" ht="22" customHeight="1" x14ac:dyDescent="0.25">
      <c r="B7" s="410" t="s">
        <v>2004</v>
      </c>
      <c r="C7" s="410"/>
      <c r="D7" s="2463" t="s">
        <v>2283</v>
      </c>
      <c r="E7" s="2178"/>
      <c r="F7" s="2179"/>
      <c r="G7" s="2179"/>
      <c r="H7" s="1460"/>
      <c r="I7" s="1460"/>
      <c r="J7" s="1460"/>
      <c r="K7" s="1460"/>
    </row>
    <row r="8" spans="1:28" ht="37" customHeight="1" x14ac:dyDescent="0.25">
      <c r="E8" s="410"/>
      <c r="F8" s="1899"/>
      <c r="G8" s="1899"/>
    </row>
    <row r="9" spans="1:28" ht="37" customHeight="1" x14ac:dyDescent="0.25">
      <c r="E9" s="410"/>
      <c r="F9" s="1899"/>
      <c r="G9" s="1899"/>
    </row>
    <row r="10" spans="1:28" ht="37" customHeight="1" x14ac:dyDescent="0.25">
      <c r="C10" s="410"/>
      <c r="F10" s="1899"/>
      <c r="G10" s="1899"/>
      <c r="V10" s="34" t="s">
        <v>2021</v>
      </c>
    </row>
    <row r="11" spans="1:28" ht="24" x14ac:dyDescent="0.25">
      <c r="B11" s="410" t="s">
        <v>2007</v>
      </c>
      <c r="C11" s="410"/>
      <c r="D11" s="2177" t="s">
        <v>2315</v>
      </c>
      <c r="E11" s="2178"/>
      <c r="F11" s="2179"/>
      <c r="G11" s="2179"/>
      <c r="H11" s="1460"/>
      <c r="I11" s="1460"/>
      <c r="J11" s="1460"/>
      <c r="K11" s="1460"/>
      <c r="R11" s="2040"/>
      <c r="S11" s="2556" t="s">
        <v>2215</v>
      </c>
      <c r="T11" s="2556"/>
      <c r="U11" s="2557"/>
      <c r="V11" s="2574" t="s">
        <v>2202</v>
      </c>
      <c r="W11" s="2575"/>
      <c r="X11" s="2564" t="s">
        <v>2200</v>
      </c>
      <c r="Y11" s="2564"/>
    </row>
    <row r="12" spans="1:28" ht="37" customHeight="1" x14ac:dyDescent="0.2">
      <c r="R12" s="2041"/>
      <c r="S12" s="2106" t="s">
        <v>2195</v>
      </c>
      <c r="T12" s="2072" t="s">
        <v>2183</v>
      </c>
      <c r="U12" s="2072" t="s">
        <v>2184</v>
      </c>
      <c r="V12" s="2102"/>
      <c r="W12" s="2103"/>
      <c r="X12" s="2071" t="s">
        <v>2001</v>
      </c>
      <c r="Y12" s="2071" t="s">
        <v>1996</v>
      </c>
    </row>
    <row r="13" spans="1:28" ht="29" customHeight="1" x14ac:dyDescent="0.35">
      <c r="R13" s="2042"/>
      <c r="S13" s="2576" t="s">
        <v>1870</v>
      </c>
      <c r="T13" s="2577" t="s">
        <v>2193</v>
      </c>
      <c r="U13" s="2578" t="s">
        <v>1863</v>
      </c>
      <c r="V13" s="2104" t="s">
        <v>2221</v>
      </c>
      <c r="W13" s="2101" t="s">
        <v>2096</v>
      </c>
      <c r="X13" s="2329"/>
      <c r="Y13" s="2329"/>
    </row>
    <row r="14" spans="1:28" ht="33" customHeight="1" x14ac:dyDescent="0.2">
      <c r="R14" s="2041"/>
      <c r="S14" s="2576"/>
      <c r="T14" s="2577"/>
      <c r="U14" s="2578"/>
      <c r="V14" s="2390">
        <f>IF(AND(F27&lt;4,M27&lt;4),1,0)</f>
        <v>0</v>
      </c>
      <c r="W14" s="2391">
        <f>IF(OR(F27&gt;=4,M27&gt;=4),1,0)</f>
        <v>1</v>
      </c>
      <c r="X14" s="2330"/>
      <c r="Y14" s="2330"/>
    </row>
    <row r="15" spans="1:28" ht="37" customHeight="1" x14ac:dyDescent="0.3">
      <c r="B15" s="410" t="s">
        <v>2004</v>
      </c>
      <c r="C15" s="410"/>
      <c r="D15" s="2402" t="s">
        <v>2316</v>
      </c>
      <c r="E15" s="2178"/>
      <c r="F15" s="1461"/>
      <c r="G15" s="1461"/>
      <c r="H15" s="1460"/>
      <c r="I15" s="1460"/>
      <c r="J15" s="1460"/>
      <c r="K15" s="1460"/>
      <c r="P15" s="706"/>
      <c r="Q15" s="16" t="s">
        <v>1840</v>
      </c>
      <c r="R15" s="2045" t="s">
        <v>2092</v>
      </c>
      <c r="V15" s="2045"/>
      <c r="W15" s="2105"/>
      <c r="X15" s="16"/>
      <c r="Y15" s="16"/>
      <c r="AB15" s="288" t="s">
        <v>1847</v>
      </c>
    </row>
    <row r="16" spans="1:28" ht="37" customHeight="1" x14ac:dyDescent="0.3">
      <c r="A16" s="2389" t="s">
        <v>2222</v>
      </c>
      <c r="B16" s="410"/>
      <c r="C16" s="410"/>
      <c r="D16" s="80"/>
      <c r="E16" s="410"/>
      <c r="P16" s="706"/>
      <c r="R16" s="2045"/>
      <c r="V16" s="2045"/>
      <c r="W16" s="2105"/>
      <c r="X16" s="16"/>
      <c r="Y16" s="16"/>
      <c r="AB16" s="288"/>
    </row>
    <row r="17" spans="1:30" ht="33" customHeight="1" x14ac:dyDescent="0.3">
      <c r="A17" s="2389" t="s">
        <v>2223</v>
      </c>
      <c r="B17" s="2044"/>
      <c r="C17" s="16"/>
      <c r="D17" s="272"/>
      <c r="P17" s="706"/>
      <c r="Q17" s="1387" t="s">
        <v>2095</v>
      </c>
      <c r="R17" s="2045"/>
      <c r="V17" s="2045"/>
      <c r="W17" s="2105"/>
      <c r="X17" s="16"/>
      <c r="Y17" s="16"/>
      <c r="AB17" s="288"/>
    </row>
    <row r="18" spans="1:30" ht="65" customHeight="1" thickBot="1" x14ac:dyDescent="0.3">
      <c r="A18" t="s">
        <v>2224</v>
      </c>
      <c r="B18" s="734" t="s">
        <v>502</v>
      </c>
      <c r="C18" s="16"/>
      <c r="D18" s="272"/>
      <c r="E18" s="16" t="s">
        <v>22</v>
      </c>
      <c r="F18" s="16" t="s">
        <v>226</v>
      </c>
      <c r="G18" s="16" t="s">
        <v>2093</v>
      </c>
      <c r="H18" s="604"/>
      <c r="I18" s="604"/>
      <c r="J18" s="16"/>
      <c r="K18" s="272"/>
      <c r="L18" s="16" t="s">
        <v>22</v>
      </c>
      <c r="M18" s="16" t="s">
        <v>226</v>
      </c>
      <c r="N18" s="16" t="s">
        <v>2093</v>
      </c>
      <c r="O18" s="604"/>
      <c r="P18" s="5"/>
      <c r="Q18" s="16"/>
      <c r="U18" s="8" t="s">
        <v>2139</v>
      </c>
      <c r="V18" s="2045" t="s">
        <v>2299</v>
      </c>
      <c r="W18" s="834" t="s">
        <v>2314</v>
      </c>
      <c r="X18" s="16"/>
      <c r="Y18" s="16"/>
      <c r="Z18" s="2282" t="s">
        <v>2095</v>
      </c>
      <c r="AA18" s="2283"/>
      <c r="AC18" t="s">
        <v>260</v>
      </c>
      <c r="AD18" t="s">
        <v>238</v>
      </c>
    </row>
    <row r="19" spans="1:30" ht="59" customHeight="1" thickBot="1" x14ac:dyDescent="0.3">
      <c r="A19" s="706" t="str">
        <f>IF(OR(E19=0,L19=0,D19="",K19=""),"question NON affichée","oui")</f>
        <v>oui</v>
      </c>
      <c r="B19" s="629" t="s">
        <v>2272</v>
      </c>
      <c r="C19" s="612" t="str">
        <f>BIBLE!E139</f>
        <v>PFA31</v>
      </c>
      <c r="D19" s="616" t="str">
        <f>Test_Bible!B243</f>
        <v xml:space="preserve">Dans quelle mesure diriez-vous que l'autre parent accepte ou vit bien avec la séparation (de couple ou familiale) ? </v>
      </c>
      <c r="E19" s="612">
        <f>Test_Bible!D243</f>
        <v>1</v>
      </c>
      <c r="F19" s="1898">
        <f>Test_Bible!P243</f>
        <v>4</v>
      </c>
      <c r="G19" s="1898">
        <f t="shared" ref="G19:G26" si="0">E19*F19</f>
        <v>4</v>
      </c>
      <c r="H19" s="1667" t="str">
        <f>BIBLE!V139</f>
        <v>Parentification</v>
      </c>
      <c r="I19" s="7"/>
      <c r="J19" s="632" t="str">
        <f>BIBLE!E72</f>
        <v>PCR16</v>
      </c>
      <c r="K19" s="1671" t="str">
        <f>Test_Bible!B154</f>
        <v xml:space="preserve">Dans quelle mesure acceptez-vous ou êtes-vous serein·e avec la séparation (couple et famille) ? </v>
      </c>
      <c r="L19" s="632">
        <f>Test_Bible!D154</f>
        <v>1</v>
      </c>
      <c r="M19" s="1905">
        <f>Test_Bible!P154</f>
        <v>4</v>
      </c>
      <c r="N19" s="1904">
        <f t="shared" ref="N19:N26" si="1">L19*M19</f>
        <v>4</v>
      </c>
      <c r="O19" s="1908" t="str">
        <f>BIBLE!V72</f>
        <v>Parentification</v>
      </c>
      <c r="P19" s="5"/>
      <c r="Q19" s="2559" t="s">
        <v>2090</v>
      </c>
      <c r="R19" s="1909">
        <f>IF(A19="oui",G19+N19,"")</f>
        <v>8</v>
      </c>
      <c r="S19" s="2421" t="str">
        <f>IF(A19="oui",IF(R19&gt;$Q$27,HLOOKUP(1,$V$14:$W$28,6),""),"")</f>
        <v/>
      </c>
      <c r="T19" s="2421"/>
      <c r="U19" s="2421"/>
      <c r="V19" s="2252"/>
      <c r="W19" s="2251" t="s">
        <v>2300</v>
      </c>
      <c r="X19" s="2252"/>
      <c r="Y19" s="2252"/>
      <c r="Z19" s="2387"/>
      <c r="AA19" s="2388"/>
      <c r="AB19" s="13" t="str">
        <f>B19</f>
        <v>Est serein·e face à la séparation</v>
      </c>
      <c r="AC19" s="55">
        <f>IF(OR(D19="",E19=0),"",G19)</f>
        <v>4</v>
      </c>
      <c r="AD19" s="55">
        <f>IF(OR(K19="",L19=0),"",N19)</f>
        <v>4</v>
      </c>
    </row>
    <row r="20" spans="1:30" ht="73" customHeight="1" thickBot="1" x14ac:dyDescent="0.3">
      <c r="A20" s="706" t="str">
        <f t="shared" ref="A20:A26" si="2">IF(OR(E20=0,L20=0,D20="",K20=""),"question NON affichée","oui")</f>
        <v>oui</v>
      </c>
      <c r="B20" s="629" t="s">
        <v>2273</v>
      </c>
      <c r="C20" s="612" t="str">
        <f>BIBLE!E121</f>
        <v>PFA22</v>
      </c>
      <c r="D20" s="616" t="str">
        <f>Test_Bible!B207</f>
        <v>Dans quelle mesure diriez-vous que l'autre parent accepte ou vit bien avec les exigences de la coparentalité (logistique horaire, transport, vacances, etc.) ?</v>
      </c>
      <c r="E20" s="612">
        <f>Test_Bible!D207</f>
        <v>1</v>
      </c>
      <c r="F20" s="1898">
        <f>Test_Bible!P207</f>
        <v>10</v>
      </c>
      <c r="G20" s="1898">
        <f t="shared" si="0"/>
        <v>10</v>
      </c>
      <c r="H20" s="1890" t="str">
        <f>BIBLE!V121</f>
        <v>Interférence lien affectif ou symbolique</v>
      </c>
      <c r="I20" s="617"/>
      <c r="J20" s="679" t="str">
        <f>BIBLE!E64</f>
        <v>PCR10</v>
      </c>
      <c r="K20" s="1668" t="str">
        <f>Test_Bible!B138</f>
        <v>Dans quelle mesure acceptez-vous ou êtes-vous serein·e face aux exigences de la coparentalité (logistique horaire, transport, vacances, etc.) ?</v>
      </c>
      <c r="L20" s="1877">
        <f>Test_Bible!D138</f>
        <v>1</v>
      </c>
      <c r="M20" s="1904">
        <f>Test_Bible!P138</f>
        <v>1</v>
      </c>
      <c r="N20" s="1904">
        <f t="shared" si="1"/>
        <v>1</v>
      </c>
      <c r="O20" s="1880" t="str">
        <f>BIBLE!V64</f>
        <v>Interférence lien affectif ou symbolique</v>
      </c>
      <c r="P20" s="8"/>
      <c r="Q20" s="2560"/>
      <c r="R20" s="1909">
        <f t="shared" ref="R20:R26" si="3">IF(A20="oui",G20+N20,"")</f>
        <v>11</v>
      </c>
      <c r="S20" s="2421" t="str">
        <f>IF(A20="oui",IF(R20&gt;$Q$27,HLOOKUP(1,$V$14:$W$28,7),""),"")</f>
        <v/>
      </c>
      <c r="T20" s="2421"/>
      <c r="U20" s="2421"/>
      <c r="V20" s="2252"/>
      <c r="W20" s="2251" t="s">
        <v>2301</v>
      </c>
      <c r="X20" s="2252"/>
      <c r="Y20" s="2252"/>
      <c r="Z20" s="2387"/>
      <c r="AA20" s="2388"/>
      <c r="AB20" s="13" t="str">
        <f>B20</f>
        <v xml:space="preserve">Accepte les exigences de la coparentalité </v>
      </c>
      <c r="AC20" s="55">
        <f t="shared" ref="AC20:AC26" si="4">IF(OR(D20="",E20=0),"",G20)</f>
        <v>10</v>
      </c>
      <c r="AD20" s="55">
        <f t="shared" ref="AD20:AD26" si="5">IF(OR(K20="",L20=0),"",N20)</f>
        <v>1</v>
      </c>
    </row>
    <row r="21" spans="1:30" ht="73" customHeight="1" thickBot="1" x14ac:dyDescent="0.25">
      <c r="A21" s="706" t="str">
        <f t="shared" si="2"/>
        <v>oui</v>
      </c>
      <c r="B21" s="629" t="s">
        <v>2274</v>
      </c>
      <c r="C21" s="612" t="str">
        <f>Test_Bible!A163</f>
        <v>PFA00</v>
      </c>
      <c r="D21" s="616" t="str">
        <f>Test_Bible!B163</f>
        <v>L'autre parent (coparent) accepte de faire des compromis afin d'assurer une bonne entente de garde.</v>
      </c>
      <c r="E21" s="612">
        <f>Test_Bible!D163</f>
        <v>1</v>
      </c>
      <c r="F21" s="1898">
        <f>Test_Bible!P163</f>
        <v>10</v>
      </c>
      <c r="G21" s="1898">
        <f t="shared" si="0"/>
        <v>10</v>
      </c>
      <c r="H21" s="2249" t="str">
        <f>BIBLE!V80</f>
        <v>Chantage affectif, manipulation</v>
      </c>
      <c r="I21" s="617"/>
      <c r="J21" s="679" t="str">
        <f>BIBLE!E55</f>
        <v>PCR02</v>
      </c>
      <c r="K21" s="1668" t="str">
        <f>Test_Bible!B123</f>
        <v>Vous devez faire des compromis afin d'assurer une bonne entente de garde.</v>
      </c>
      <c r="L21" s="679">
        <f>Test_Bible!D123</f>
        <v>1</v>
      </c>
      <c r="M21" s="1906">
        <f>Test_Bible!P123</f>
        <v>10</v>
      </c>
      <c r="N21" s="1904">
        <f t="shared" si="1"/>
        <v>10</v>
      </c>
      <c r="O21" s="2249" t="str">
        <f>BIBLE!V55</f>
        <v>Chantage affectif, manipulation</v>
      </c>
      <c r="P21" s="8"/>
      <c r="Q21" s="2560"/>
      <c r="R21" s="1909">
        <f t="shared" si="3"/>
        <v>20</v>
      </c>
      <c r="S21" s="2421" t="str">
        <f>IF(A21="oui",IF(R21&gt;$Q$27,HLOOKUP(1,$V$14:$W$28,8),""),"")</f>
        <v xml:space="preserve">doit marcher sur des œufs en présence de l’autre parent ou doit faire des compromis à sens unique afin d’assurer une bonne entente de garde. </v>
      </c>
      <c r="T21" s="2421"/>
      <c r="U21" s="2421"/>
      <c r="V21" s="2252"/>
      <c r="W21" s="2251" t="s">
        <v>2302</v>
      </c>
      <c r="X21" s="2252"/>
      <c r="Y21" s="2252"/>
      <c r="AB21" s="13" t="str">
        <f>B21</f>
        <v xml:space="preserve">Accepte de faire des compromis </v>
      </c>
      <c r="AC21" s="55">
        <f t="shared" si="4"/>
        <v>10</v>
      </c>
      <c r="AD21" s="55">
        <f t="shared" si="5"/>
        <v>10</v>
      </c>
    </row>
    <row r="22" spans="1:30" ht="50" customHeight="1" thickBot="1" x14ac:dyDescent="0.25">
      <c r="A22" s="706" t="str">
        <f t="shared" si="2"/>
        <v>oui</v>
      </c>
      <c r="B22" s="629" t="s">
        <v>2275</v>
      </c>
      <c r="C22" s="612" t="str">
        <f>BIBLE!E119</f>
        <v>PFA21</v>
      </c>
      <c r="D22" s="616" t="str">
        <f>Test_Bible!B205</f>
        <v xml:space="preserve">Dans quelle mesure diriez-vous que l'autre parent vous considère comme étant son égal·e sur le plan parental ? </v>
      </c>
      <c r="E22" s="612">
        <f>Test_Bible!D205</f>
        <v>1</v>
      </c>
      <c r="F22" s="1898">
        <f>Test_Bible!P205</f>
        <v>10</v>
      </c>
      <c r="G22" s="1898">
        <f t="shared" si="0"/>
        <v>10</v>
      </c>
      <c r="H22" s="1890" t="str">
        <f>BIBLE!V119</f>
        <v>Interférence lien affectif ou symbolique</v>
      </c>
      <c r="I22" s="618"/>
      <c r="J22" s="1878" t="str">
        <f>BIBLE!E63</f>
        <v>PCR19</v>
      </c>
      <c r="K22" s="633" t="str">
        <f>Test_Bible!B137</f>
        <v>Dans quelle mesure considérez-vous l'autre parent comme étant votre égal·e sur le plan parental ?</v>
      </c>
      <c r="L22" s="1667">
        <f>Test_Bible!D137</f>
        <v>1</v>
      </c>
      <c r="M22" s="1904">
        <f>Test_Bible!P137</f>
        <v>4</v>
      </c>
      <c r="N22" s="1904">
        <f t="shared" si="1"/>
        <v>4</v>
      </c>
      <c r="O22" s="1890" t="str">
        <f>BIBLE!V63</f>
        <v>Interférence lien affectif ou symbolique</v>
      </c>
      <c r="P22" s="1435"/>
      <c r="Q22" s="2560"/>
      <c r="R22" s="1909">
        <f t="shared" si="3"/>
        <v>14</v>
      </c>
      <c r="S22" s="2421" t="str">
        <f>IF(A22="oui",IF(R22&gt;$Q$27,HLOOKUP(1,$V$14:$W$28,9),""),"")</f>
        <v xml:space="preserve">ne reconnaît pas ou ne respecte pas la valeur parentale et l’autorité parentale du coparent. </v>
      </c>
      <c r="T22" s="2421"/>
      <c r="U22" s="2421"/>
      <c r="V22" s="2253"/>
      <c r="W22" s="2251" t="s">
        <v>2303</v>
      </c>
      <c r="X22" s="2252"/>
      <c r="Y22" s="2252"/>
      <c r="AB22" s="13" t="str">
        <f t="shared" ref="AB22:AB26" si="6">B22</f>
        <v xml:space="preserve">Respecte la valeur parentale du coparent </v>
      </c>
      <c r="AC22" s="55">
        <f t="shared" si="4"/>
        <v>10</v>
      </c>
      <c r="AD22" s="55">
        <f t="shared" si="5"/>
        <v>4</v>
      </c>
    </row>
    <row r="23" spans="1:30" ht="52" customHeight="1" thickBot="1" x14ac:dyDescent="0.25">
      <c r="A23" s="706" t="str">
        <f t="shared" si="2"/>
        <v>oui</v>
      </c>
      <c r="B23" s="629" t="s">
        <v>2297</v>
      </c>
      <c r="C23" s="612" t="str">
        <f>BIBLE!E96</f>
        <v>PFA10</v>
      </c>
      <c r="D23" s="616" t="str">
        <f>Test_Bible!B182</f>
        <v>L’autre parent vous salue lors de changements de garde, à l'école ou lors d'événements culturels ou sportifs.</v>
      </c>
      <c r="E23" s="612">
        <f>Test_Bible!D182</f>
        <v>1</v>
      </c>
      <c r="F23" s="1898">
        <f>Test_Bible!P182</f>
        <v>4</v>
      </c>
      <c r="G23" s="1898">
        <f t="shared" si="0"/>
        <v>4</v>
      </c>
      <c r="H23" s="1893" t="str">
        <f>BIBLE!V96</f>
        <v>Chantage affectif, manipulation</v>
      </c>
      <c r="I23" s="618"/>
      <c r="J23" s="632" t="str">
        <f>BIBLE!E56</f>
        <v>PCR03</v>
      </c>
      <c r="K23" s="1671" t="str">
        <f>Test_Bible!B124</f>
        <v xml:space="preserve">Vous saluez ou allez vers l'autre parent lors de changements de garde, à l'école ou lors d'événements culturels ou sportifs. </v>
      </c>
      <c r="L23" s="632">
        <f>Test_Bible!D124</f>
        <v>1</v>
      </c>
      <c r="M23" s="1905">
        <f>Test_Bible!P124</f>
        <v>1</v>
      </c>
      <c r="N23" s="1905">
        <f t="shared" si="1"/>
        <v>1</v>
      </c>
      <c r="O23" s="1879" t="str">
        <f>BIBLE!V56</f>
        <v>Chantage affectif, manipulation</v>
      </c>
      <c r="Q23" s="2560"/>
      <c r="R23" s="1909">
        <f t="shared" si="3"/>
        <v>5</v>
      </c>
      <c r="S23" s="2421" t="str">
        <f>IF(A23="oui",IF(R23&gt;$Q$27,HLOOKUP(1,$V$14:$W$28,10),""),"")</f>
        <v/>
      </c>
      <c r="T23" s="2421"/>
      <c r="U23" s="2421"/>
      <c r="V23" s="2254"/>
      <c r="W23" s="2251" t="s">
        <v>2465</v>
      </c>
      <c r="X23" s="2252"/>
      <c r="Y23" s="2252"/>
      <c r="AB23" s="13" t="str">
        <f t="shared" si="6"/>
        <v>Salue l’autre parent lorsqu’il ou elle le croise</v>
      </c>
      <c r="AC23" s="55">
        <f t="shared" si="4"/>
        <v>4</v>
      </c>
      <c r="AD23" s="55">
        <f t="shared" si="5"/>
        <v>1</v>
      </c>
    </row>
    <row r="24" spans="1:30" ht="65" customHeight="1" thickBot="1" x14ac:dyDescent="0.25">
      <c r="A24" s="706" t="str">
        <f t="shared" si="2"/>
        <v>oui</v>
      </c>
      <c r="B24" s="748" t="s">
        <v>2276</v>
      </c>
      <c r="C24" s="612" t="str">
        <f>BIBLE!E132</f>
        <v>PFA29</v>
      </c>
      <c r="D24" s="616" t="str">
        <f>Test_Bible!B221</f>
        <v>L'autre parent prend des décisions sans vous consulter.</v>
      </c>
      <c r="E24" s="612">
        <f>Test_Bible!D221</f>
        <v>2</v>
      </c>
      <c r="F24" s="1898">
        <f>Test_Bible!P221</f>
        <v>7</v>
      </c>
      <c r="G24" s="1898">
        <f t="shared" si="0"/>
        <v>14</v>
      </c>
      <c r="H24" s="1895" t="str">
        <f>BIBLE!V107</f>
        <v>Interférence temps et/ou communication</v>
      </c>
      <c r="I24" s="618"/>
      <c r="J24" s="632" t="str">
        <f>BIBLE!E66</f>
        <v>PCR12</v>
      </c>
      <c r="K24" s="1671" t="str">
        <f>Test_Bible!B140</f>
        <v>Il vous arrive de prendre des décisions sans consulter l'autre parent.</v>
      </c>
      <c r="L24" s="632">
        <f>Test_Bible!D140</f>
        <v>2</v>
      </c>
      <c r="M24" s="1905">
        <f>Test_Bible!P140</f>
        <v>2</v>
      </c>
      <c r="N24" s="1904">
        <f t="shared" si="1"/>
        <v>4</v>
      </c>
      <c r="O24" s="1880" t="str">
        <f>BIBLE!V66</f>
        <v>Interférence lien affectif ou symbolique</v>
      </c>
      <c r="P24" s="8"/>
      <c r="Q24" s="2560"/>
      <c r="R24" s="1909">
        <f t="shared" si="3"/>
        <v>18</v>
      </c>
      <c r="S24" s="2421" t="str">
        <f>IF(A24="oui",IF(R24&gt;$Q$27,HLOOKUP(1,$V$14:$W$28,11),""),"")</f>
        <v xml:space="preserve">prend des décisions concernant l’enfant sans consulter l’autre parent. </v>
      </c>
      <c r="T24" s="2421"/>
      <c r="U24" s="2421"/>
      <c r="V24" s="2253"/>
      <c r="W24" s="2251" t="s">
        <v>2304</v>
      </c>
      <c r="X24" s="2252"/>
      <c r="Y24" s="2252"/>
      <c r="AB24" s="13" t="str">
        <f t="shared" si="6"/>
        <v xml:space="preserve">Consulte l’autre parent pour les décisions concernant l’enfant </v>
      </c>
      <c r="AC24" s="55">
        <f t="shared" si="4"/>
        <v>14</v>
      </c>
      <c r="AD24" s="55">
        <f t="shared" si="5"/>
        <v>4</v>
      </c>
    </row>
    <row r="25" spans="1:30" ht="55" customHeight="1" thickBot="1" x14ac:dyDescent="0.25">
      <c r="A25" s="706" t="str">
        <f t="shared" si="2"/>
        <v>oui</v>
      </c>
      <c r="B25" s="629" t="s">
        <v>2298</v>
      </c>
      <c r="C25" s="612" t="str">
        <f>BIBLE!E94</f>
        <v>PFA09</v>
      </c>
      <c r="D25" s="616" t="str">
        <f>Test_Bible!B180</f>
        <v>Arrive-t-il que l'autre parent vous accable de reproches par courriel ou texto au retour des enfants (après votre tour de garde) ?</v>
      </c>
      <c r="E25" s="612">
        <f>Test_Bible!D180</f>
        <v>1</v>
      </c>
      <c r="F25" s="1898">
        <f>Test_Bible!P180</f>
        <v>7</v>
      </c>
      <c r="G25" s="1898">
        <f t="shared" si="0"/>
        <v>7</v>
      </c>
      <c r="H25" s="1893" t="str">
        <f>BIBLE!V94</f>
        <v>Chantage affectif, manipulation</v>
      </c>
      <c r="I25" s="618"/>
      <c r="J25" s="1707" t="str">
        <f>BIBLE!E58</f>
        <v>PCR06</v>
      </c>
      <c r="K25" s="1708" t="str">
        <f>Test_Bible!B126</f>
        <v xml:space="preserve">Vous faites un retour sur les interventions de l'autre parent (nutrition, hygiène, logistique, etc.) au retour des enfants, par courriel ou message texte. </v>
      </c>
      <c r="L25" s="1707">
        <f>Test_Bible!D126</f>
        <v>1</v>
      </c>
      <c r="M25" s="1907">
        <f>Test_Bible!P126</f>
        <v>2</v>
      </c>
      <c r="N25" s="1907">
        <f t="shared" si="1"/>
        <v>2</v>
      </c>
      <c r="O25" s="1887" t="str">
        <f>BIBLE!V58</f>
        <v>Dénigrement</v>
      </c>
      <c r="Q25" s="2560"/>
      <c r="R25" s="1909">
        <f t="shared" si="3"/>
        <v>9</v>
      </c>
      <c r="S25" s="2421" t="str">
        <f>IF(A25="oui",IF(R25&gt;$Q$27,HLOOKUP(1,$V$14:$W$28,12),""),"")</f>
        <v/>
      </c>
      <c r="T25" s="2421"/>
      <c r="U25" s="2421"/>
      <c r="V25" s="2254"/>
      <c r="W25" s="2251" t="s">
        <v>2464</v>
      </c>
      <c r="X25" s="2252"/>
      <c r="Y25" s="2252"/>
      <c r="AB25" s="13" t="str">
        <f t="shared" si="6"/>
        <v xml:space="preserve">Respecte l’autorité parentale du coparent </v>
      </c>
      <c r="AC25" s="55">
        <f t="shared" si="4"/>
        <v>7</v>
      </c>
      <c r="AD25" s="55">
        <f t="shared" si="5"/>
        <v>2</v>
      </c>
    </row>
    <row r="26" spans="1:30" ht="65" customHeight="1" thickBot="1" x14ac:dyDescent="0.25">
      <c r="A26" s="706" t="str">
        <f t="shared" si="2"/>
        <v>oui</v>
      </c>
      <c r="B26" s="629" t="s">
        <v>2277</v>
      </c>
      <c r="C26" s="612" t="str">
        <f>BIBLE!E100</f>
        <v>PFA13</v>
      </c>
      <c r="D26" s="616" t="str">
        <f>Test_Bible!B186</f>
        <v>L’autre parent vous dénigre en la présence de votre enfant.</v>
      </c>
      <c r="E26" s="612">
        <f>Test_Bible!D186</f>
        <v>1</v>
      </c>
      <c r="F26" s="1898">
        <f>Test_Bible!P186</f>
        <v>4</v>
      </c>
      <c r="G26" s="1898">
        <f t="shared" si="0"/>
        <v>4</v>
      </c>
      <c r="H26" s="1894" t="str">
        <f>BIBLE!V100</f>
        <v>Dénigrement</v>
      </c>
      <c r="I26" s="618"/>
      <c r="J26" s="632" t="str">
        <f>BIBLE!E60</f>
        <v>PCR07</v>
      </c>
      <c r="K26" s="1671" t="str">
        <f>Test_Bible!B134</f>
        <v>Il vous arrive de faire des reproches à l'autre parent devant votre enfant.</v>
      </c>
      <c r="L26" s="2245">
        <f>Test_Bible!D134</f>
        <v>1</v>
      </c>
      <c r="M26" s="1905">
        <f>Test_Bible!P134</f>
        <v>2</v>
      </c>
      <c r="N26" s="1905">
        <f t="shared" si="1"/>
        <v>2</v>
      </c>
      <c r="O26" s="1885" t="str">
        <f>BIBLE!V60</f>
        <v>Dénigrement</v>
      </c>
      <c r="Q26" s="2561"/>
      <c r="R26" s="1909">
        <f t="shared" si="3"/>
        <v>6</v>
      </c>
      <c r="S26" s="2421" t="str">
        <f>IF(A26="oui",IF(R26&gt;$Q$27,HLOOKUP(1,$V$14:$W$28,13),""),"")</f>
        <v/>
      </c>
      <c r="T26" s="2421"/>
      <c r="U26" s="2421"/>
      <c r="V26" s="2254"/>
      <c r="W26" s="2251" t="s">
        <v>2305</v>
      </c>
      <c r="X26" s="2252"/>
      <c r="Y26" s="2252"/>
      <c r="AB26" s="13" t="str">
        <f t="shared" si="6"/>
        <v xml:space="preserve">Évite de faire des reproches au coparent </v>
      </c>
      <c r="AC26" s="55">
        <f t="shared" si="4"/>
        <v>4</v>
      </c>
      <c r="AD26" s="55">
        <f t="shared" si="5"/>
        <v>2</v>
      </c>
    </row>
    <row r="27" spans="1:30" ht="95" customHeight="1" x14ac:dyDescent="0.2">
      <c r="B27" s="25"/>
      <c r="D27" s="291"/>
      <c r="E27" s="2" t="s">
        <v>2225</v>
      </c>
      <c r="F27" s="90">
        <f>(MAX(F19:F26))</f>
        <v>10</v>
      </c>
      <c r="G27" s="6"/>
      <c r="H27" s="757"/>
      <c r="K27" s="1916"/>
      <c r="L27" s="2" t="s">
        <v>2225</v>
      </c>
      <c r="M27" s="90">
        <f>(MAX(M19:M26))</f>
        <v>10</v>
      </c>
      <c r="N27" s="6"/>
      <c r="O27" s="757" t="s">
        <v>2220</v>
      </c>
      <c r="P27" s="6"/>
      <c r="Q27" s="90">
        <f>AVERAGE(R19:R26)</f>
        <v>11.375</v>
      </c>
      <c r="S27" s="2421" t="str">
        <f>IF(HLOOKUP(1,$V$14:$W$28,14)="","",HLOOKUP(1,$V$14:$W$28,14))</f>
        <v/>
      </c>
      <c r="T27" s="580">
        <f>IF(OR(F27&gt;=4,M27&gt;=4),X27,"")</f>
        <v>0</v>
      </c>
      <c r="U27" s="2422">
        <f>IF(OR(F27&gt;=4,M27&gt;=4),Y27,"")</f>
        <v>0</v>
      </c>
      <c r="V27" s="2254"/>
      <c r="W27" s="2254"/>
      <c r="X27" s="2336"/>
      <c r="Y27" s="2336"/>
      <c r="Z27" s="25"/>
      <c r="AB27" s="13"/>
      <c r="AC27" s="55"/>
    </row>
    <row r="28" spans="1:30" ht="95" customHeight="1" x14ac:dyDescent="0.2">
      <c r="B28" s="25"/>
      <c r="D28" s="291"/>
      <c r="E28" s="5"/>
      <c r="G28" s="6"/>
      <c r="H28" s="757"/>
      <c r="K28" s="1916"/>
      <c r="L28" s="5"/>
      <c r="N28" s="6"/>
      <c r="O28" s="757"/>
      <c r="P28" s="6"/>
      <c r="S28" s="7"/>
      <c r="T28" s="7"/>
      <c r="U28" s="7"/>
      <c r="V28" s="2184"/>
      <c r="W28" s="2404" t="s">
        <v>2310</v>
      </c>
      <c r="X28" s="2331"/>
      <c r="Y28" s="2331"/>
      <c r="Z28" s="25"/>
      <c r="AC28" s="55"/>
    </row>
    <row r="29" spans="1:30" ht="95" customHeight="1" x14ac:dyDescent="0.2">
      <c r="B29" s="25"/>
      <c r="D29" s="291"/>
      <c r="E29" s="5"/>
      <c r="G29" s="6"/>
      <c r="H29" s="757"/>
      <c r="K29" s="1916"/>
      <c r="L29" s="5"/>
      <c r="N29" s="6"/>
      <c r="O29" s="757"/>
      <c r="P29" s="6"/>
      <c r="R29" s="7"/>
      <c r="S29" s="7"/>
      <c r="T29" s="7"/>
      <c r="U29" s="7"/>
      <c r="V29" s="2337"/>
      <c r="W29" s="2338"/>
      <c r="X29" s="2111"/>
      <c r="Y29" s="2111"/>
      <c r="Z29" s="25"/>
      <c r="AC29" s="55"/>
    </row>
    <row r="30" spans="1:30" ht="34" customHeight="1" x14ac:dyDescent="0.2">
      <c r="B30" s="25"/>
      <c r="D30" s="291"/>
      <c r="E30" s="5"/>
      <c r="G30" s="6"/>
      <c r="H30" s="757"/>
      <c r="K30" s="1916"/>
      <c r="L30" s="5"/>
      <c r="N30" s="6"/>
      <c r="O30" s="757"/>
      <c r="P30" s="6"/>
      <c r="R30" s="7"/>
      <c r="S30" s="7"/>
      <c r="T30" s="7"/>
      <c r="U30" s="7"/>
      <c r="V30" s="2390">
        <f>IF(AND(F38&lt;4,M38&lt;4),1,0)</f>
        <v>0</v>
      </c>
      <c r="W30" s="2391">
        <f>IF(OR(F38&gt;=4,M38&gt;=4),1,0)</f>
        <v>1</v>
      </c>
      <c r="X30" s="16" t="s">
        <v>2001</v>
      </c>
      <c r="Y30" s="16" t="s">
        <v>1996</v>
      </c>
      <c r="Z30" s="25"/>
      <c r="AC30" s="55"/>
    </row>
    <row r="31" spans="1:30" ht="95" customHeight="1" thickBot="1" x14ac:dyDescent="0.25">
      <c r="B31" s="609" t="s">
        <v>502</v>
      </c>
      <c r="D31" s="291"/>
      <c r="E31" s="5"/>
      <c r="G31" s="6"/>
      <c r="H31" s="757"/>
      <c r="K31" s="1916"/>
      <c r="L31" s="5"/>
      <c r="N31" s="6"/>
      <c r="O31" s="757"/>
      <c r="P31" s="6"/>
      <c r="S31" s="8"/>
      <c r="T31" s="8"/>
      <c r="U31" s="8" t="s">
        <v>2104</v>
      </c>
      <c r="V31" s="2045" t="s">
        <v>2307</v>
      </c>
      <c r="W31" s="2105" t="s">
        <v>2308</v>
      </c>
      <c r="Z31" s="25"/>
      <c r="AC31" t="s">
        <v>260</v>
      </c>
      <c r="AD31" t="s">
        <v>238</v>
      </c>
    </row>
    <row r="32" spans="1:30" ht="61" thickBot="1" x14ac:dyDescent="0.25">
      <c r="A32" s="706" t="str">
        <f t="shared" ref="A32:A37" si="7">IF(OR(E32=0,L32=0,D32="",K32=""),"question NON affichée","oui")</f>
        <v>oui</v>
      </c>
      <c r="B32" s="629" t="s">
        <v>2280</v>
      </c>
      <c r="C32" s="612" t="str">
        <f>BIBLE!E129</f>
        <v>PFA28</v>
      </c>
      <c r="D32" s="616" t="str">
        <f>Test_Bible!B218</f>
        <v xml:space="preserve">L’autre parent permet à votre enfant d'apporter des objets (jouets ou cadeaux reçus) provenant de chez vous. </v>
      </c>
      <c r="E32" s="612">
        <f>Test_Bible!D218</f>
        <v>2</v>
      </c>
      <c r="F32" s="1898">
        <f>Test_Bible!P218</f>
        <v>7</v>
      </c>
      <c r="G32" s="1898">
        <f t="shared" ref="G32:G37" si="8">E32*F32</f>
        <v>14</v>
      </c>
      <c r="H32" s="1890" t="str">
        <f>BIBLE!V129</f>
        <v>Interférence lien affectif ou symbolique</v>
      </c>
      <c r="I32" s="618"/>
      <c r="J32" s="679" t="str">
        <f>BIBLE!E65</f>
        <v>PCR11</v>
      </c>
      <c r="K32" s="1668" t="str">
        <f>Test_Bible!B139</f>
        <v>Vous acceptez que les vêtements et/ou jouets de votre enfant se promènent d’une maison à l’autre.</v>
      </c>
      <c r="L32" s="679">
        <f>Test_Bible!D139</f>
        <v>2</v>
      </c>
      <c r="M32" s="1906">
        <f>Test_Bible!P139</f>
        <v>1</v>
      </c>
      <c r="N32" s="1906">
        <f t="shared" ref="N32:N37" si="9">L32*M32</f>
        <v>2</v>
      </c>
      <c r="O32" s="1880" t="str">
        <f>BIBLE!V65</f>
        <v>Interférence lien affectif ou symbolique</v>
      </c>
      <c r="Q32" s="2559" t="s">
        <v>2091</v>
      </c>
      <c r="R32" s="1909">
        <f t="shared" ref="R32:R37" si="10">IF(A32="oui",G32+N32,"")</f>
        <v>16</v>
      </c>
      <c r="S32" s="2421" t="str">
        <f t="shared" ref="S32" si="11">IF(A32="oui",IF(R32&gt;$Q$38,HLOOKUP(1,$V$30:$W$39,3),""),"")</f>
        <v/>
      </c>
      <c r="T32" s="2421" t="str">
        <f>IF(A32="oui",IF(R32&gt;$Q$38,X32,""))</f>
        <v/>
      </c>
      <c r="U32" s="2421" t="str">
        <f>IF(A32="oui",IF(R32&gt;$Q$38,Y32,""))</f>
        <v/>
      </c>
      <c r="V32" s="2254"/>
      <c r="W32" s="2251" t="s">
        <v>2309</v>
      </c>
      <c r="X32" s="2252"/>
      <c r="Y32" s="2252"/>
      <c r="AB32" s="13" t="str">
        <f>B32</f>
        <v>Accepte que les objets voyagent d’une maison à l’autre</v>
      </c>
      <c r="AC32" s="55">
        <f>IF(OR(D32="",E32=0),"",G32)</f>
        <v>14</v>
      </c>
      <c r="AD32" s="55">
        <f>IF(OR(K32="",L32=0),"",N32)</f>
        <v>2</v>
      </c>
    </row>
    <row r="33" spans="1:30" ht="81" thickBot="1" x14ac:dyDescent="0.25">
      <c r="A33" s="706" t="str">
        <f t="shared" si="7"/>
        <v>oui</v>
      </c>
      <c r="B33" s="629" t="s">
        <v>2281</v>
      </c>
      <c r="C33" s="612" t="str">
        <f>BIBLE!E144</f>
        <v>PFA34</v>
      </c>
      <c r="D33" s="616" t="str">
        <f>Test_Bible!B248</f>
        <v>L’autre parent refuse de vous parler et demande à votre enfant de faire les messages et autres demandes entourant la logistique familiale.</v>
      </c>
      <c r="E33" s="612">
        <f>Test_Bible!D248</f>
        <v>2</v>
      </c>
      <c r="F33" s="1898">
        <f>Test_Bible!P248</f>
        <v>4</v>
      </c>
      <c r="G33" s="1898">
        <f t="shared" si="8"/>
        <v>8</v>
      </c>
      <c r="H33" s="1896" t="str">
        <f>BIBLE!V144</f>
        <v>Rôle actif de l'enfant</v>
      </c>
      <c r="I33" s="618"/>
      <c r="J33" s="632" t="str">
        <f>BIBLE!E68</f>
        <v>PCR13</v>
      </c>
      <c r="K33" s="1671" t="str">
        <f>Test_Bible!B149</f>
        <v>Le contexte de coparentalité vous contraint à demander à votre enfant de faire les messages et demandes entourant la logistique familiale.</v>
      </c>
      <c r="L33" s="2245">
        <f>Test_Bible!D149</f>
        <v>3</v>
      </c>
      <c r="M33" s="1905">
        <f>Test_Bible!P149</f>
        <v>7</v>
      </c>
      <c r="N33" s="1905">
        <f t="shared" si="9"/>
        <v>21</v>
      </c>
      <c r="O33" s="1882" t="str">
        <f>BIBLE!V68</f>
        <v>Parentification</v>
      </c>
      <c r="Q33" s="2560"/>
      <c r="R33" s="1909">
        <f t="shared" si="10"/>
        <v>29</v>
      </c>
      <c r="S33" s="2421" t="str">
        <f>IF(A33="oui",IF(R33&gt;$Q$38,HLOOKUP(1,$V$30:$W$39,4),""),"")</f>
        <v xml:space="preserve">est appelé à tenir le rôle de messager entre ses parents, devenant indirectement responsable des conflits parentaux ou des horaires, activités et rendez-vous qui le concernent. </v>
      </c>
      <c r="T33" s="2421">
        <f>IF(A33="oui",IF(R33&gt;$Q$38,X33,""),"")</f>
        <v>0</v>
      </c>
      <c r="U33" s="2421">
        <f>IF(A33="oui",IF(R33&gt;$Q$38,Y33,""),"")</f>
        <v>0</v>
      </c>
      <c r="V33" s="2254"/>
      <c r="W33" s="2251" t="s">
        <v>2466</v>
      </c>
      <c r="X33" s="2252"/>
      <c r="Y33" s="2252"/>
      <c r="AB33" s="13" t="str">
        <f t="shared" ref="AB33:AB37" si="12">B33</f>
        <v xml:space="preserve">Protège l'enfant du rôle de messager </v>
      </c>
      <c r="AC33" s="55">
        <f t="shared" ref="AC33:AC37" si="13">IF(OR(D33="",E33=0),"",G33)</f>
        <v>8</v>
      </c>
      <c r="AD33" s="55">
        <f t="shared" ref="AD33:AD37" si="14">IF(OR(K33="",L33=0),"",N33)</f>
        <v>21</v>
      </c>
    </row>
    <row r="34" spans="1:30" ht="81" thickBot="1" x14ac:dyDescent="0.25">
      <c r="A34" s="706" t="str">
        <f t="shared" si="7"/>
        <v>oui</v>
      </c>
      <c r="B34" s="629" t="s">
        <v>2278</v>
      </c>
      <c r="C34" s="612" t="str">
        <f>BIBLE!E142</f>
        <v>PFA32</v>
      </c>
      <c r="D34" s="616" t="str">
        <f>Test_Bible!B246</f>
        <v>L'autre parent fait lire vos échanges et communications (courriels, textos, etc.) à votre enfant.</v>
      </c>
      <c r="E34" s="612">
        <f>Test_Bible!D246</f>
        <v>3</v>
      </c>
      <c r="F34" s="1898">
        <f>Test_Bible!P246</f>
        <v>4</v>
      </c>
      <c r="G34" s="1898">
        <f t="shared" si="8"/>
        <v>12</v>
      </c>
      <c r="H34" s="1897" t="str">
        <f>BIBLE!V142</f>
        <v>Parentification</v>
      </c>
      <c r="I34" s="618"/>
      <c r="J34" s="632" t="str">
        <f>BIBLE!E70</f>
        <v>PCR15</v>
      </c>
      <c r="K34" s="1671" t="str">
        <f>Test_Bible!B151</f>
        <v>Il est important que votre enfant soit au courant des enjeux de la séparation et/ou du conflit qui vous oppose à l'autre parent.</v>
      </c>
      <c r="L34" s="2245">
        <f>Test_Bible!D151</f>
        <v>3</v>
      </c>
      <c r="M34" s="1905">
        <f>Test_Bible!P151</f>
        <v>4</v>
      </c>
      <c r="N34" s="1905">
        <f t="shared" si="9"/>
        <v>12</v>
      </c>
      <c r="O34" s="1888" t="str">
        <f>BIBLE!V70</f>
        <v>Parentification</v>
      </c>
      <c r="Q34" s="2560"/>
      <c r="R34" s="1909">
        <f t="shared" si="10"/>
        <v>24</v>
      </c>
      <c r="S34" s="2421" t="str">
        <f>IF(A34="oui",IF(R34&gt;$Q$38,HLOOKUP(1,$V$30:$W$39,5),""),"")</f>
        <v xml:space="preserve">est au courant des échanges texto et/ou courriels entre vous et votre coparent devenant indirectement responsable des enjeux qui vous opposent à l’autre parent. </v>
      </c>
      <c r="T34" s="2421">
        <f t="shared" ref="T34:T37" si="15">IF(A34="oui",IF(R34&gt;$Q$38,X34,""),"")</f>
        <v>0</v>
      </c>
      <c r="U34" s="2421">
        <f t="shared" ref="U34:U37" si="16">IF(A34="oui",IF(R34&gt;$Q$38,Y34,""),"")</f>
        <v>0</v>
      </c>
      <c r="V34" s="2254"/>
      <c r="W34" s="2251" t="s">
        <v>2467</v>
      </c>
      <c r="X34" s="2252"/>
      <c r="Y34" s="2252"/>
      <c r="AB34" s="13" t="str">
        <f t="shared" si="12"/>
        <v xml:space="preserve">Protège l'enfant des enjeux de séparation </v>
      </c>
      <c r="AC34" s="55">
        <f t="shared" si="13"/>
        <v>12</v>
      </c>
      <c r="AD34" s="55">
        <f t="shared" si="14"/>
        <v>12</v>
      </c>
    </row>
    <row r="35" spans="1:30" ht="53" customHeight="1" thickBot="1" x14ac:dyDescent="0.25">
      <c r="A35" s="706" t="str">
        <f t="shared" si="7"/>
        <v>oui</v>
      </c>
      <c r="B35" s="629" t="s">
        <v>2306</v>
      </c>
      <c r="C35" s="612" t="str">
        <f>BIBLE!E99</f>
        <v>PFA12</v>
      </c>
      <c r="D35" s="616" t="str">
        <f>Test_Bible!B185</f>
        <v>L'autre parent questionne votre enfant à son retour de garde afin de connaître la routine (repas, dodo, activités, etc.) chez vous.</v>
      </c>
      <c r="E35" s="612">
        <f>Test_Bible!D185</f>
        <v>1</v>
      </c>
      <c r="F35" s="1898">
        <f>Test_Bible!P185</f>
        <v>10</v>
      </c>
      <c r="G35" s="1898">
        <f t="shared" si="8"/>
        <v>10</v>
      </c>
      <c r="H35" s="1889" t="str">
        <f>BIBLE!V99</f>
        <v>Chantage affectif, manipulation</v>
      </c>
      <c r="I35" s="1876"/>
      <c r="J35" s="1877" t="str">
        <f>BIBLE!E57</f>
        <v>PCR04</v>
      </c>
      <c r="K35" s="1668" t="str">
        <f>Test_Bible!B125</f>
        <v>Vous questionnez votre enfant à son retour de garde afin de connaître la routine (repas, dodo, activités, etc.) chez l'autre parent.</v>
      </c>
      <c r="L35" s="1667">
        <f>Test_Bible!D125</f>
        <v>1</v>
      </c>
      <c r="M35" s="1903">
        <f>Test_Bible!P125</f>
        <v>4</v>
      </c>
      <c r="N35" s="1903">
        <f t="shared" si="9"/>
        <v>4</v>
      </c>
      <c r="O35" s="1879" t="str">
        <f>BIBLE!V57</f>
        <v>Chantage affectif, manipulation</v>
      </c>
      <c r="Q35" s="2560"/>
      <c r="R35" s="1909">
        <f t="shared" si="10"/>
        <v>14</v>
      </c>
      <c r="S35" s="2421" t="str">
        <f>IF(A35="oui",IF(R35&gt;$Q$38,HLOOKUP(1,$V$30:$W$39,6),""),"")</f>
        <v/>
      </c>
      <c r="T35" s="2421" t="str">
        <f t="shared" si="15"/>
        <v/>
      </c>
      <c r="U35" s="2421" t="str">
        <f t="shared" si="16"/>
        <v/>
      </c>
      <c r="V35" s="2254"/>
      <c r="W35" s="2251" t="s">
        <v>2468</v>
      </c>
      <c r="X35" s="2252"/>
      <c r="Y35" s="2252"/>
      <c r="AB35" s="13" t="str">
        <f t="shared" si="12"/>
        <v xml:space="preserve">Évite de questionner l’enfant à son retour de garde  </v>
      </c>
      <c r="AC35" s="55">
        <f t="shared" si="13"/>
        <v>10</v>
      </c>
      <c r="AD35" s="55">
        <f t="shared" si="14"/>
        <v>4</v>
      </c>
    </row>
    <row r="36" spans="1:30" ht="61" thickBot="1" x14ac:dyDescent="0.25">
      <c r="A36" s="706" t="str">
        <f t="shared" si="7"/>
        <v>question NON affichée</v>
      </c>
      <c r="B36" s="748" t="s">
        <v>2279</v>
      </c>
      <c r="C36" s="612" t="str">
        <f>BIBLE!E145</f>
        <v>PFA35</v>
      </c>
      <c r="D36" s="616" t="str">
        <f>Test_Bible!B249</f>
        <v/>
      </c>
      <c r="E36" s="612">
        <f>Test_Bible!D249</f>
        <v>3</v>
      </c>
      <c r="F36" s="1898">
        <f>Test_Bible!P249</f>
        <v>0</v>
      </c>
      <c r="G36" s="1898">
        <f t="shared" si="8"/>
        <v>0</v>
      </c>
      <c r="H36" s="1896" t="str">
        <f>BIBLE!V145</f>
        <v>Rôle actif de l'enfant</v>
      </c>
      <c r="I36" s="618"/>
      <c r="J36" s="679" t="str">
        <f>BIBLE!E62</f>
        <v>PCR09</v>
      </c>
      <c r="K36" s="1668" t="str">
        <f>Test_Bible!B136</f>
        <v>Vous laissez à votre enfant le droit de choisir la fréquence des visites et le temps qu'il passe chez l'autre parent.</v>
      </c>
      <c r="L36" s="1878">
        <f>Test_Bible!D136</f>
        <v>3</v>
      </c>
      <c r="M36" s="1906">
        <f>Test_Bible!P136</f>
        <v>2</v>
      </c>
      <c r="N36" s="1904">
        <f t="shared" si="9"/>
        <v>6</v>
      </c>
      <c r="O36" s="1881" t="str">
        <f>BIBLE!V62</f>
        <v>Interférence temps et/ou communication</v>
      </c>
      <c r="P36" s="8"/>
      <c r="Q36" s="2560"/>
      <c r="R36" s="1909" t="str">
        <f t="shared" si="10"/>
        <v/>
      </c>
      <c r="S36" s="2421" t="str">
        <f>IF(A36="oui",IF(R36&gt;$Q$38,HLOOKUP(1,$V$30:$W$39,7),""),"")</f>
        <v/>
      </c>
      <c r="T36" s="2421" t="str">
        <f t="shared" si="15"/>
        <v/>
      </c>
      <c r="U36" s="2421" t="str">
        <f t="shared" si="16"/>
        <v/>
      </c>
      <c r="V36" s="2253"/>
      <c r="W36" s="2251" t="s">
        <v>2469</v>
      </c>
      <c r="X36" s="2252"/>
      <c r="Y36" s="2252"/>
      <c r="AB36" s="13" t="str">
        <f t="shared" si="12"/>
        <v xml:space="preserve">Favorise et protège le temps parental du coparent  </v>
      </c>
      <c r="AC36" s="55" t="str">
        <f t="shared" si="13"/>
        <v/>
      </c>
      <c r="AD36" s="55">
        <f t="shared" si="14"/>
        <v>6</v>
      </c>
    </row>
    <row r="37" spans="1:30" ht="54" customHeight="1" thickBot="1" x14ac:dyDescent="0.25">
      <c r="A37" s="706" t="str">
        <f t="shared" si="7"/>
        <v>oui</v>
      </c>
      <c r="B37" s="629" t="s">
        <v>2282</v>
      </c>
      <c r="C37" s="612" t="str">
        <f>BIBLE!E97</f>
        <v>PFA11</v>
      </c>
      <c r="D37" s="616" t="str">
        <f>Test_Bible!B183</f>
        <v xml:space="preserve">L'autre parent est d'avis que votre enfant est assez mature pour choisir où il doit vivre et avec quel parent.  </v>
      </c>
      <c r="E37" s="612">
        <f>Test_Bible!D183</f>
        <v>3</v>
      </c>
      <c r="F37" s="1898">
        <f>Test_Bible!P183</f>
        <v>10</v>
      </c>
      <c r="G37" s="1898">
        <f t="shared" si="8"/>
        <v>30</v>
      </c>
      <c r="H37" s="1893" t="str">
        <f>BIBLE!V99</f>
        <v>Chantage affectif, manipulation</v>
      </c>
      <c r="I37" s="618"/>
      <c r="J37" s="632" t="str">
        <f>BIBLE!E69</f>
        <v>PCR14</v>
      </c>
      <c r="K37" s="1671" t="str">
        <f>Test_Bible!B150</f>
        <v>Un enfant de 12 ans est assez mature pour choisir où et avec qui il veut vivre.</v>
      </c>
      <c r="L37" s="632">
        <f>Test_Bible!D150</f>
        <v>3</v>
      </c>
      <c r="M37" s="1905">
        <f>Test_Bible!P150</f>
        <v>1</v>
      </c>
      <c r="N37" s="1904">
        <f t="shared" si="9"/>
        <v>3</v>
      </c>
      <c r="O37" s="1882" t="str">
        <f>BIBLE!V71</f>
        <v>Parentification</v>
      </c>
      <c r="P37" s="8"/>
      <c r="Q37" s="2561"/>
      <c r="R37" s="1909">
        <f t="shared" si="10"/>
        <v>33</v>
      </c>
      <c r="S37" s="2421" t="str">
        <f>IF(A37="oui",IF(R37&gt;$Q$38,HLOOKUP(1,$V$30:$W$39,8),""),"")</f>
        <v xml:space="preserve">a la responsabilité direct ou indirecte de choisir avec quel parent et où il souhaite vivre.  </v>
      </c>
      <c r="T37" s="2421">
        <f t="shared" si="15"/>
        <v>0</v>
      </c>
      <c r="U37" s="2421">
        <f t="shared" si="16"/>
        <v>0</v>
      </c>
      <c r="V37" s="2253"/>
      <c r="W37" s="2251" t="s">
        <v>2470</v>
      </c>
      <c r="X37" s="2252"/>
      <c r="Y37" s="2252"/>
      <c r="AB37" s="13" t="str">
        <f t="shared" si="12"/>
        <v>Ne donne pas à l'enfant la responsabilité de choisir</v>
      </c>
      <c r="AC37" s="55">
        <f t="shared" si="13"/>
        <v>30</v>
      </c>
      <c r="AD37" s="55">
        <f t="shared" si="14"/>
        <v>3</v>
      </c>
    </row>
    <row r="38" spans="1:30" ht="150" x14ac:dyDescent="0.2">
      <c r="A38" s="5"/>
      <c r="B38" s="25"/>
      <c r="C38" s="16"/>
      <c r="D38" s="272"/>
      <c r="E38" s="2" t="s">
        <v>2225</v>
      </c>
      <c r="F38" s="90">
        <f>MAX(F32:F37)</f>
        <v>10</v>
      </c>
      <c r="G38" s="67"/>
      <c r="H38" s="1886"/>
      <c r="J38" s="610"/>
      <c r="K38" s="2037"/>
      <c r="L38" s="2" t="s">
        <v>2225</v>
      </c>
      <c r="M38" s="90">
        <f>MAX(M32:M37)</f>
        <v>7</v>
      </c>
      <c r="N38" s="67"/>
      <c r="O38" s="1531"/>
      <c r="Q38" s="90">
        <f>AVERAGE(R32:R37)</f>
        <v>23.2</v>
      </c>
      <c r="R38" s="2406" t="s">
        <v>2312</v>
      </c>
      <c r="S38" s="2421" t="str">
        <f>IF(HLOOKUP(1,$V$30:$W$39,9)="","",HLOOKUP(1,$V$30:$W$39,9))</f>
        <v/>
      </c>
      <c r="T38" s="580" t="str">
        <f>IF(OR(F38&gt;=4,M38&gt;=4),X38,"")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c r="U38" s="2422">
        <f>IF(OR(F38&gt;=4,M38&gt;=4),Y38,"")</f>
        <v>0</v>
      </c>
      <c r="V38" s="2335"/>
      <c r="W38" s="2405"/>
      <c r="X38" s="2415" t="s">
        <v>2311</v>
      </c>
      <c r="Y38" s="2336"/>
      <c r="AC38" s="55"/>
      <c r="AD38" s="55"/>
    </row>
    <row r="39" spans="1:30" ht="122" customHeight="1" x14ac:dyDescent="0.2">
      <c r="A39" s="5"/>
      <c r="B39" s="25"/>
      <c r="C39" s="16"/>
      <c r="D39" s="272"/>
      <c r="E39" s="16"/>
      <c r="F39" s="67"/>
      <c r="G39" s="67"/>
      <c r="H39" s="1886"/>
      <c r="J39" s="610"/>
      <c r="K39" s="2037"/>
      <c r="L39" s="610"/>
      <c r="M39" s="2038"/>
      <c r="N39" s="67"/>
      <c r="O39" s="1531"/>
      <c r="S39" s="7"/>
      <c r="T39" s="7"/>
      <c r="U39" s="7" t="s">
        <v>2019</v>
      </c>
      <c r="V39" s="2184"/>
      <c r="W39" s="2403" t="s">
        <v>2313</v>
      </c>
      <c r="X39" s="2331"/>
      <c r="Y39" s="2331"/>
      <c r="AA39" s="57"/>
    </row>
    <row r="40" spans="1:30" ht="76" customHeight="1" x14ac:dyDescent="0.25">
      <c r="B40" s="25"/>
      <c r="C40" s="16"/>
      <c r="D40" s="272"/>
      <c r="E40" s="16"/>
      <c r="F40" s="67"/>
      <c r="G40" s="67"/>
      <c r="H40" s="1886"/>
      <c r="J40" s="610"/>
      <c r="K40" s="2037"/>
      <c r="L40" s="610"/>
      <c r="M40" s="2038"/>
      <c r="N40" s="67"/>
      <c r="O40" s="1531"/>
      <c r="R40" s="2039"/>
      <c r="S40" s="2039"/>
      <c r="T40" s="2039"/>
      <c r="U40" s="2039"/>
      <c r="W40" s="2250"/>
      <c r="X40" s="2250"/>
      <c r="Y40" s="2250"/>
      <c r="AA40" s="57"/>
    </row>
    <row r="41" spans="1:30" ht="76" customHeight="1" x14ac:dyDescent="0.25">
      <c r="B41" s="25"/>
      <c r="C41" s="16"/>
      <c r="D41" s="272"/>
      <c r="E41" s="16"/>
      <c r="F41" s="67"/>
      <c r="G41" s="67"/>
      <c r="H41" s="1886"/>
      <c r="J41" s="610"/>
      <c r="K41" s="2037"/>
      <c r="L41" s="610"/>
      <c r="M41" s="2038"/>
      <c r="N41" s="67"/>
      <c r="O41" s="1531"/>
      <c r="R41" s="2039"/>
      <c r="S41" s="2039"/>
      <c r="T41" s="2039"/>
      <c r="U41" s="2039"/>
      <c r="W41" s="2250"/>
      <c r="X41" s="2250"/>
      <c r="Y41" s="2250"/>
      <c r="AA41" s="57"/>
    </row>
    <row r="42" spans="1:30" ht="76" customHeight="1" x14ac:dyDescent="0.25">
      <c r="B42" s="25"/>
      <c r="C42" s="16"/>
      <c r="D42" s="272"/>
      <c r="E42" s="16"/>
      <c r="F42" s="67"/>
      <c r="G42" s="67"/>
      <c r="H42" s="1886"/>
      <c r="J42" s="610"/>
      <c r="K42" s="2037"/>
      <c r="L42" s="610"/>
      <c r="M42" s="2038"/>
      <c r="N42" s="67"/>
      <c r="O42" s="1531"/>
      <c r="R42" s="2039"/>
      <c r="S42" s="2039"/>
      <c r="T42" s="2039"/>
      <c r="U42" s="2039"/>
      <c r="W42" s="2250"/>
      <c r="X42" s="2250"/>
      <c r="Y42" s="2250"/>
      <c r="AA42" s="57"/>
    </row>
    <row r="43" spans="1:30" ht="76" customHeight="1" x14ac:dyDescent="0.25">
      <c r="B43" s="25"/>
      <c r="C43" s="16"/>
      <c r="D43" s="272"/>
      <c r="E43" s="16"/>
      <c r="F43" s="67"/>
      <c r="G43" s="67"/>
      <c r="H43" s="1886"/>
      <c r="J43" s="610"/>
      <c r="K43" s="2037"/>
      <c r="L43" s="610"/>
      <c r="M43" s="2038"/>
      <c r="N43" s="67"/>
      <c r="O43" s="1531"/>
      <c r="R43" s="2039"/>
      <c r="S43" s="2039"/>
      <c r="T43" s="2039"/>
      <c r="U43" s="2039"/>
      <c r="W43" s="2250"/>
      <c r="X43" s="2250"/>
      <c r="Y43" s="2250"/>
      <c r="AA43" s="57"/>
    </row>
    <row r="44" spans="1:30" ht="76" customHeight="1" x14ac:dyDescent="0.25">
      <c r="B44" s="25"/>
      <c r="C44" s="16"/>
      <c r="D44" s="272"/>
      <c r="E44" s="16"/>
      <c r="F44" s="67"/>
      <c r="G44" s="67"/>
      <c r="H44" s="1886"/>
      <c r="J44" s="610"/>
      <c r="K44" s="2037"/>
      <c r="L44" s="610"/>
      <c r="M44" s="2038"/>
      <c r="N44" s="67"/>
      <c r="O44" s="1531"/>
      <c r="R44" s="2039"/>
      <c r="S44" s="2039"/>
      <c r="T44" s="2039"/>
      <c r="U44" s="2039"/>
      <c r="W44" s="2250"/>
      <c r="X44" s="2250"/>
      <c r="Y44" s="2250"/>
      <c r="AA44" s="57"/>
    </row>
    <row r="45" spans="1:30" ht="76" customHeight="1" x14ac:dyDescent="0.25">
      <c r="B45" s="25"/>
      <c r="C45" s="16"/>
      <c r="D45" s="272"/>
      <c r="E45" s="16"/>
      <c r="F45" s="67"/>
      <c r="G45" s="67"/>
      <c r="H45" s="1886"/>
      <c r="J45" s="610"/>
      <c r="K45" s="2037"/>
      <c r="L45" s="610"/>
      <c r="M45" s="2038"/>
      <c r="N45" s="67"/>
      <c r="O45" s="1531"/>
      <c r="R45" s="2039"/>
      <c r="S45" s="2039"/>
      <c r="T45" s="2039"/>
      <c r="U45" s="2039"/>
      <c r="W45" s="2250"/>
      <c r="X45" s="2250"/>
      <c r="Y45" s="2250"/>
      <c r="AA45" s="57"/>
    </row>
    <row r="46" spans="1:30" ht="76" customHeight="1" x14ac:dyDescent="0.25">
      <c r="B46" s="25"/>
      <c r="C46" s="16"/>
      <c r="D46" s="272"/>
      <c r="E46" s="16"/>
      <c r="F46" s="67"/>
      <c r="G46" s="67"/>
      <c r="H46" s="1886"/>
      <c r="J46" s="610"/>
      <c r="K46" s="2037"/>
      <c r="L46" s="610"/>
      <c r="M46" s="2038"/>
      <c r="N46" s="67"/>
      <c r="O46" s="1531"/>
      <c r="R46" s="2039"/>
      <c r="S46" s="2039"/>
      <c r="T46" s="2039"/>
      <c r="U46" s="2039"/>
      <c r="W46" s="2250"/>
      <c r="X46" s="2250"/>
      <c r="Y46" s="2250"/>
      <c r="AA46" s="57"/>
    </row>
    <row r="47" spans="1:30" ht="76" customHeight="1" x14ac:dyDescent="0.25">
      <c r="B47" s="25"/>
      <c r="C47" s="16"/>
      <c r="D47" s="272"/>
      <c r="E47" s="16"/>
      <c r="F47" s="67"/>
      <c r="G47" s="67"/>
      <c r="H47" s="1886"/>
      <c r="J47" s="610"/>
      <c r="K47" s="2037"/>
      <c r="L47" s="610"/>
      <c r="M47" s="2038"/>
      <c r="N47" s="67"/>
      <c r="O47" s="1531"/>
      <c r="R47" s="2039"/>
      <c r="S47" s="2039"/>
      <c r="T47" s="2039"/>
      <c r="U47" s="2039"/>
      <c r="W47" s="2250"/>
      <c r="X47" s="2250"/>
      <c r="Y47" s="2250"/>
      <c r="AA47" s="57"/>
    </row>
    <row r="48" spans="1:30" ht="76" customHeight="1" x14ac:dyDescent="0.25">
      <c r="B48" s="25"/>
      <c r="C48" s="16"/>
      <c r="D48" s="272"/>
      <c r="E48" s="16"/>
      <c r="F48" s="67"/>
      <c r="G48" s="67"/>
      <c r="H48" s="1886"/>
      <c r="J48" s="610"/>
      <c r="K48" s="2037"/>
      <c r="L48" s="610"/>
      <c r="M48" s="2038"/>
      <c r="N48" s="67"/>
      <c r="O48" s="1531"/>
      <c r="R48" s="2039"/>
      <c r="S48" s="2039"/>
      <c r="T48" s="2039"/>
      <c r="U48" s="2039"/>
      <c r="W48" s="2250"/>
      <c r="X48" s="2250"/>
      <c r="Y48" s="2250"/>
      <c r="AA48" s="57"/>
    </row>
    <row r="49" spans="2:27" ht="76" customHeight="1" x14ac:dyDescent="0.25">
      <c r="B49" s="25"/>
      <c r="C49" s="16"/>
      <c r="D49" s="272"/>
      <c r="E49" s="16"/>
      <c r="F49" s="67"/>
      <c r="G49" s="67"/>
      <c r="H49" s="1886"/>
      <c r="J49" s="610"/>
      <c r="K49" s="2037"/>
      <c r="L49" s="610"/>
      <c r="M49" s="2038"/>
      <c r="N49" s="67"/>
      <c r="O49" s="1531"/>
      <c r="R49" s="2039"/>
      <c r="S49" s="2039"/>
      <c r="T49" s="2039"/>
      <c r="U49" s="2039"/>
      <c r="W49" s="2250"/>
      <c r="X49" s="2250"/>
      <c r="Y49" s="2250"/>
      <c r="AA49" s="57"/>
    </row>
    <row r="50" spans="2:27" ht="76" customHeight="1" x14ac:dyDescent="0.25">
      <c r="B50" s="25"/>
      <c r="C50" s="16"/>
      <c r="D50" s="272"/>
      <c r="E50" s="16"/>
      <c r="F50" s="67"/>
      <c r="G50" s="67"/>
      <c r="H50" s="1886"/>
      <c r="J50" s="610"/>
      <c r="K50" s="2037"/>
      <c r="L50" s="610"/>
      <c r="M50" s="2038"/>
      <c r="N50" s="67"/>
      <c r="O50" s="1531"/>
      <c r="R50" s="2039"/>
      <c r="S50" s="2039"/>
      <c r="T50" s="2039"/>
      <c r="U50" s="2039"/>
      <c r="W50" s="2250"/>
      <c r="X50" s="2250"/>
      <c r="Y50" s="2250"/>
      <c r="AA50" s="57"/>
    </row>
    <row r="51" spans="2:27" ht="76" customHeight="1" x14ac:dyDescent="0.25">
      <c r="B51" s="25"/>
      <c r="C51" s="16"/>
      <c r="D51" s="272"/>
      <c r="E51" s="16"/>
      <c r="F51" s="67"/>
      <c r="G51" s="67"/>
      <c r="H51" s="1886"/>
      <c r="J51" s="610"/>
      <c r="K51" s="2037"/>
      <c r="L51" s="610"/>
      <c r="M51" s="2038"/>
      <c r="N51" s="67"/>
      <c r="O51" s="1531"/>
      <c r="R51" s="2039"/>
      <c r="S51" s="2039"/>
      <c r="T51" s="2039"/>
      <c r="U51" s="2039"/>
      <c r="W51" s="2250"/>
      <c r="X51" s="2250"/>
      <c r="Y51" s="2250"/>
      <c r="AA51" s="57"/>
    </row>
    <row r="52" spans="2:27" ht="76" customHeight="1" x14ac:dyDescent="0.25">
      <c r="B52" s="25"/>
      <c r="C52" s="16"/>
      <c r="D52" s="272"/>
      <c r="E52" s="16"/>
      <c r="F52" s="67"/>
      <c r="G52" s="67"/>
      <c r="H52" s="1886"/>
      <c r="J52" s="610"/>
      <c r="K52" s="2037"/>
      <c r="L52" s="610"/>
      <c r="M52" s="2038"/>
      <c r="N52" s="67"/>
      <c r="O52" s="1531"/>
      <c r="R52" s="2039"/>
      <c r="S52" s="2039"/>
      <c r="T52" s="2039"/>
      <c r="U52" s="2039"/>
      <c r="W52" s="2250"/>
      <c r="X52" s="2250"/>
      <c r="Y52" s="2250"/>
      <c r="AA52" s="57"/>
    </row>
    <row r="53" spans="2:27" ht="76" customHeight="1" x14ac:dyDescent="0.25">
      <c r="B53" s="25"/>
      <c r="C53" s="16"/>
      <c r="D53" s="272"/>
      <c r="E53" s="16"/>
      <c r="F53" s="67"/>
      <c r="G53" s="67"/>
      <c r="H53" s="1886"/>
      <c r="J53" s="610"/>
      <c r="K53" s="2037"/>
      <c r="L53" s="610"/>
      <c r="M53" s="2038"/>
      <c r="N53" s="67"/>
      <c r="O53" s="1531"/>
      <c r="R53" s="2039"/>
      <c r="S53" s="2039"/>
      <c r="T53" s="2039"/>
      <c r="U53" s="2039"/>
      <c r="W53" s="2250"/>
      <c r="X53" s="2250"/>
      <c r="Y53" s="2250"/>
      <c r="AA53" s="57"/>
    </row>
    <row r="54" spans="2:27" ht="76" customHeight="1" x14ac:dyDescent="0.25">
      <c r="B54" s="25"/>
      <c r="C54" s="16"/>
      <c r="D54" s="272"/>
      <c r="E54" s="16"/>
      <c r="F54" s="67"/>
      <c r="G54" s="67"/>
      <c r="H54" s="1886"/>
      <c r="J54" s="610"/>
      <c r="K54" s="2037"/>
      <c r="L54" s="610"/>
      <c r="M54" s="2038"/>
      <c r="N54" s="67"/>
      <c r="O54" s="1531"/>
      <c r="R54" s="2039"/>
      <c r="S54" s="2039"/>
      <c r="T54" s="2039"/>
      <c r="U54" s="2039"/>
      <c r="W54" s="2250"/>
      <c r="X54" s="2250"/>
      <c r="Y54" s="2250"/>
      <c r="AA54" s="57"/>
    </row>
    <row r="55" spans="2:27" ht="76" customHeight="1" x14ac:dyDescent="0.25">
      <c r="B55" s="25"/>
      <c r="C55" s="16"/>
      <c r="D55" s="272"/>
      <c r="E55" s="16"/>
      <c r="F55" s="67"/>
      <c r="G55" s="67"/>
      <c r="H55" s="1886"/>
      <c r="J55" s="610"/>
      <c r="K55" s="2037"/>
      <c r="L55" s="610"/>
      <c r="M55" s="2038"/>
      <c r="N55" s="67"/>
      <c r="O55" s="1531"/>
      <c r="R55" s="2039"/>
      <c r="S55" s="2039"/>
      <c r="T55" s="2039"/>
      <c r="U55" s="2039"/>
      <c r="W55" s="2250"/>
      <c r="X55" s="2250"/>
      <c r="Y55" s="2250"/>
      <c r="AA55" s="57"/>
    </row>
    <row r="56" spans="2:27" ht="76" customHeight="1" x14ac:dyDescent="0.25">
      <c r="B56" s="25"/>
      <c r="C56" s="16"/>
      <c r="D56" s="272"/>
      <c r="E56" s="16"/>
      <c r="F56" s="67"/>
      <c r="G56" s="67"/>
      <c r="H56" s="1886"/>
      <c r="J56" s="610"/>
      <c r="K56" s="2037"/>
      <c r="L56" s="610"/>
      <c r="M56" s="2038"/>
      <c r="N56" s="67"/>
      <c r="O56" s="1531"/>
      <c r="R56" s="2039"/>
      <c r="S56" s="2039"/>
      <c r="T56" s="2039"/>
      <c r="U56" s="2039"/>
      <c r="W56" s="2250"/>
      <c r="X56" s="2250"/>
      <c r="Y56" s="2250"/>
      <c r="AA56" s="57"/>
    </row>
    <row r="57" spans="2:27" ht="76" customHeight="1" x14ac:dyDescent="0.25">
      <c r="B57" s="25"/>
      <c r="C57" s="16"/>
      <c r="D57" s="272"/>
      <c r="E57" s="16"/>
      <c r="F57" s="67"/>
      <c r="G57" s="67"/>
      <c r="H57" s="1886"/>
      <c r="J57" s="610"/>
      <c r="K57" s="2037"/>
      <c r="L57" s="610"/>
      <c r="M57" s="2038"/>
      <c r="N57" s="67"/>
      <c r="O57" s="1531"/>
      <c r="R57" s="2039"/>
      <c r="S57" s="2039"/>
      <c r="T57" s="2039"/>
      <c r="U57" s="2039"/>
      <c r="W57" s="2250"/>
      <c r="X57" s="2250"/>
      <c r="Y57" s="2250"/>
      <c r="AA57" s="57"/>
    </row>
    <row r="58" spans="2:27" ht="76" customHeight="1" x14ac:dyDescent="0.25">
      <c r="B58" s="25"/>
      <c r="C58" s="16"/>
      <c r="D58" s="272"/>
      <c r="E58" s="16"/>
      <c r="F58" s="67"/>
      <c r="G58" s="67"/>
      <c r="H58" s="1886"/>
      <c r="J58" s="610"/>
      <c r="K58" s="2037"/>
      <c r="L58" s="610"/>
      <c r="M58" s="2038"/>
      <c r="N58" s="67"/>
      <c r="O58" s="1531"/>
      <c r="R58" s="2039"/>
      <c r="S58" s="2039"/>
      <c r="T58" s="2039"/>
      <c r="U58" s="2039"/>
      <c r="W58" s="2250"/>
      <c r="X58" s="2250"/>
      <c r="Y58" s="2250"/>
      <c r="AA58" s="57"/>
    </row>
    <row r="59" spans="2:27" ht="76" customHeight="1" x14ac:dyDescent="0.25">
      <c r="B59" s="25"/>
      <c r="C59" s="16"/>
      <c r="D59" s="272"/>
      <c r="E59" s="16"/>
      <c r="F59" s="67"/>
      <c r="G59" s="67"/>
      <c r="H59" s="1886"/>
      <c r="J59" s="610"/>
      <c r="K59" s="2037"/>
      <c r="L59" s="610"/>
      <c r="M59" s="2038"/>
      <c r="N59" s="67"/>
      <c r="O59" s="1531"/>
      <c r="R59" s="2039"/>
      <c r="S59" s="2039"/>
      <c r="T59" s="2039"/>
      <c r="U59" s="2039"/>
      <c r="W59" s="2250"/>
      <c r="X59" s="2250"/>
      <c r="Y59" s="2250"/>
      <c r="AA59" s="57"/>
    </row>
    <row r="60" spans="2:27" ht="76" customHeight="1" x14ac:dyDescent="0.25">
      <c r="B60" s="25"/>
      <c r="C60" s="16"/>
      <c r="D60" s="272"/>
      <c r="E60" s="16"/>
      <c r="F60" s="67"/>
      <c r="G60" s="67"/>
      <c r="H60" s="1886"/>
      <c r="J60" s="610"/>
      <c r="K60" s="2037"/>
      <c r="L60" s="610"/>
      <c r="M60" s="2038"/>
      <c r="N60" s="67"/>
      <c r="O60" s="1531"/>
      <c r="R60" s="2039"/>
      <c r="S60" s="2039"/>
      <c r="T60" s="2039"/>
      <c r="U60" s="2039"/>
      <c r="W60" s="2250"/>
      <c r="X60" s="2250"/>
      <c r="Y60" s="2250"/>
      <c r="AA60" s="57"/>
    </row>
    <row r="61" spans="2:27" ht="76" customHeight="1" x14ac:dyDescent="0.25">
      <c r="B61" s="25"/>
      <c r="C61" s="16"/>
      <c r="D61" s="272"/>
      <c r="E61" s="16"/>
      <c r="F61" s="67"/>
      <c r="G61" s="67"/>
      <c r="H61" s="1886"/>
      <c r="J61" s="610"/>
      <c r="K61" s="2037"/>
      <c r="L61" s="610"/>
      <c r="M61" s="2038"/>
      <c r="N61" s="67"/>
      <c r="O61" s="1531"/>
      <c r="R61" s="2039"/>
      <c r="S61" s="2039"/>
      <c r="T61" s="2039"/>
      <c r="U61" s="2039"/>
      <c r="W61" s="2250"/>
      <c r="X61" s="2250"/>
      <c r="Y61" s="2250"/>
      <c r="AA61" s="57"/>
    </row>
    <row r="62" spans="2:27" ht="76" customHeight="1" x14ac:dyDescent="0.25">
      <c r="B62" s="25"/>
      <c r="C62" s="16"/>
      <c r="D62" s="272"/>
      <c r="E62" s="16"/>
      <c r="F62" s="67"/>
      <c r="G62" s="67"/>
      <c r="H62" s="1886"/>
      <c r="J62" s="610"/>
      <c r="K62" s="2037"/>
      <c r="L62" s="610"/>
      <c r="M62" s="2038"/>
      <c r="N62" s="67"/>
      <c r="O62" s="1531"/>
      <c r="R62" s="2039"/>
      <c r="S62" s="2039"/>
      <c r="T62" s="2039"/>
      <c r="U62" s="2039"/>
      <c r="W62" s="2250"/>
      <c r="X62" s="2250"/>
      <c r="Y62" s="2250"/>
      <c r="AA62" s="57"/>
    </row>
    <row r="63" spans="2:27" ht="76" customHeight="1" x14ac:dyDescent="0.25">
      <c r="B63" s="25"/>
      <c r="C63" s="16"/>
      <c r="D63" s="272"/>
      <c r="E63" s="16"/>
      <c r="F63" s="67"/>
      <c r="G63" s="67"/>
      <c r="H63" s="1886"/>
      <c r="J63" s="610"/>
      <c r="K63" s="2037"/>
      <c r="L63" s="610"/>
      <c r="M63" s="2038"/>
      <c r="N63" s="67"/>
      <c r="O63" s="1531"/>
      <c r="R63" s="2039"/>
      <c r="S63" s="2039"/>
      <c r="T63" s="2039"/>
      <c r="U63" s="2039"/>
      <c r="W63" s="2250"/>
      <c r="X63" s="2250"/>
      <c r="Y63" s="2250"/>
      <c r="AA63" s="57"/>
    </row>
    <row r="64" spans="2:27" ht="76" customHeight="1" x14ac:dyDescent="0.25">
      <c r="B64" s="25"/>
      <c r="C64" s="16"/>
      <c r="D64" s="272"/>
      <c r="E64" s="16"/>
      <c r="F64" s="67"/>
      <c r="G64" s="67"/>
      <c r="H64" s="1886"/>
      <c r="J64" s="610"/>
      <c r="K64" s="2037"/>
      <c r="L64" s="610"/>
      <c r="M64" s="2038"/>
      <c r="N64" s="67"/>
      <c r="O64" s="1531"/>
      <c r="R64" s="2039"/>
      <c r="S64" s="2039"/>
      <c r="T64" s="2039"/>
      <c r="U64" s="2039"/>
      <c r="W64" s="2250"/>
      <c r="X64" s="2250"/>
      <c r="Y64" s="2250"/>
      <c r="AA64" s="57"/>
    </row>
    <row r="65" spans="2:27" ht="76" customHeight="1" x14ac:dyDescent="0.25">
      <c r="B65" s="25"/>
      <c r="C65" s="16"/>
      <c r="D65" s="272"/>
      <c r="E65" s="16"/>
      <c r="F65" s="67"/>
      <c r="G65" s="67"/>
      <c r="H65" s="1886"/>
      <c r="J65" s="610"/>
      <c r="K65" s="2037"/>
      <c r="L65" s="610"/>
      <c r="M65" s="2038"/>
      <c r="N65" s="67"/>
      <c r="O65" s="1531"/>
      <c r="R65" s="2039"/>
      <c r="S65" s="2039"/>
      <c r="T65" s="2039"/>
      <c r="U65" s="2039"/>
      <c r="W65" s="2250"/>
      <c r="X65" s="2250"/>
      <c r="Y65" s="2250"/>
      <c r="AA65" s="57"/>
    </row>
    <row r="66" spans="2:27" ht="76" customHeight="1" x14ac:dyDescent="0.25">
      <c r="B66" s="25"/>
      <c r="C66" s="16"/>
      <c r="D66" s="272"/>
      <c r="E66" s="16"/>
      <c r="F66" s="67"/>
      <c r="G66" s="67"/>
      <c r="H66" s="1886"/>
      <c r="J66" s="610"/>
      <c r="K66" s="2037"/>
      <c r="L66" s="610"/>
      <c r="M66" s="2038"/>
      <c r="N66" s="67"/>
      <c r="O66" s="1531"/>
      <c r="R66" s="2039"/>
      <c r="S66" s="2039"/>
      <c r="T66" s="2039"/>
      <c r="U66" s="2039"/>
      <c r="W66" s="2250"/>
      <c r="X66" s="2250"/>
      <c r="Y66" s="2250"/>
      <c r="AA66" s="57"/>
    </row>
    <row r="67" spans="2:27" ht="76" customHeight="1" x14ac:dyDescent="0.25">
      <c r="B67" s="25"/>
      <c r="C67" s="16"/>
      <c r="D67" s="272"/>
      <c r="E67" s="16"/>
      <c r="F67" s="67"/>
      <c r="G67" s="67"/>
      <c r="H67" s="1886"/>
      <c r="J67" s="610"/>
      <c r="K67" s="2037"/>
      <c r="L67" s="610"/>
      <c r="M67" s="2038"/>
      <c r="N67" s="67"/>
      <c r="O67" s="1531"/>
      <c r="R67" s="2039"/>
      <c r="S67" s="2039"/>
      <c r="T67" s="2039"/>
      <c r="U67" s="2039"/>
      <c r="W67" s="2250"/>
      <c r="X67" s="2250"/>
      <c r="Y67" s="2250"/>
      <c r="AA67" s="57"/>
    </row>
    <row r="68" spans="2:27" ht="76" customHeight="1" x14ac:dyDescent="0.25">
      <c r="B68" s="25"/>
      <c r="C68" s="16"/>
      <c r="D68" s="272"/>
      <c r="E68" s="16"/>
      <c r="F68" s="67"/>
      <c r="G68" s="67"/>
      <c r="H68" s="1886"/>
      <c r="J68" s="610"/>
      <c r="K68" s="2037"/>
      <c r="L68" s="610"/>
      <c r="M68" s="2038"/>
      <c r="N68" s="67"/>
      <c r="O68" s="1531"/>
      <c r="R68" s="2039"/>
      <c r="S68" s="2039"/>
      <c r="T68" s="2039"/>
      <c r="U68" s="2039"/>
      <c r="W68" s="2250"/>
      <c r="X68" s="2250"/>
      <c r="Y68" s="2250"/>
      <c r="AA68" s="57"/>
    </row>
    <row r="69" spans="2:27" ht="76" customHeight="1" x14ac:dyDescent="0.25">
      <c r="B69" s="25"/>
      <c r="C69" s="16"/>
      <c r="D69" s="272"/>
      <c r="E69" s="16"/>
      <c r="F69" s="67"/>
      <c r="G69" s="67"/>
      <c r="H69" s="1886"/>
      <c r="J69" s="610"/>
      <c r="K69" s="2037"/>
      <c r="L69" s="610"/>
      <c r="M69" s="2038"/>
      <c r="N69" s="67"/>
      <c r="O69" s="1531"/>
      <c r="R69" s="2039"/>
      <c r="S69" s="2039"/>
      <c r="T69" s="2039"/>
      <c r="U69" s="2039"/>
      <c r="W69" s="2250"/>
      <c r="X69" s="2250"/>
      <c r="Y69" s="2250"/>
      <c r="AA69" s="57"/>
    </row>
    <row r="70" spans="2:27" ht="76" customHeight="1" x14ac:dyDescent="0.25">
      <c r="B70" s="25"/>
      <c r="C70" s="16"/>
      <c r="D70" s="272"/>
      <c r="E70" s="16"/>
      <c r="F70" s="67"/>
      <c r="G70" s="67"/>
      <c r="H70" s="1886"/>
      <c r="J70" s="610"/>
      <c r="K70" s="2037"/>
      <c r="L70" s="610"/>
      <c r="M70" s="2038"/>
      <c r="N70" s="67"/>
      <c r="O70" s="1531"/>
      <c r="R70" s="2039"/>
      <c r="S70" s="2039"/>
      <c r="T70" s="2039"/>
      <c r="U70" s="2039"/>
      <c r="W70" s="2250"/>
      <c r="X70" s="2250"/>
      <c r="Y70" s="2250"/>
      <c r="AA70" s="57"/>
    </row>
    <row r="71" spans="2:27" ht="76" customHeight="1" x14ac:dyDescent="0.25">
      <c r="B71" s="25"/>
      <c r="C71" s="16"/>
      <c r="D71" s="272"/>
      <c r="E71" s="16"/>
      <c r="F71" s="67"/>
      <c r="G71" s="67"/>
      <c r="H71" s="1886"/>
      <c r="J71" s="610"/>
      <c r="K71" s="2037"/>
      <c r="L71" s="610"/>
      <c r="M71" s="2038"/>
      <c r="N71" s="67"/>
      <c r="O71" s="1531"/>
      <c r="R71" s="2039"/>
      <c r="S71" s="2039"/>
      <c r="T71" s="2039"/>
      <c r="U71" s="2039"/>
      <c r="W71" s="2250"/>
      <c r="X71" s="2250"/>
      <c r="Y71" s="2250"/>
      <c r="AA71" s="57"/>
    </row>
    <row r="72" spans="2:27" ht="76" customHeight="1" x14ac:dyDescent="0.25">
      <c r="B72" s="25"/>
      <c r="C72" s="16"/>
      <c r="D72" s="272"/>
      <c r="E72" s="16"/>
      <c r="F72" s="67"/>
      <c r="G72" s="67"/>
      <c r="H72" s="1886"/>
      <c r="J72" s="610"/>
      <c r="K72" s="2037"/>
      <c r="L72" s="610"/>
      <c r="M72" s="2038"/>
      <c r="N72" s="67"/>
      <c r="O72" s="1531"/>
      <c r="R72" s="2039"/>
      <c r="S72" s="2039"/>
      <c r="T72" s="2039"/>
      <c r="U72" s="2039"/>
      <c r="W72" s="2250"/>
      <c r="X72" s="2250"/>
      <c r="Y72" s="2250"/>
      <c r="AA72" s="57"/>
    </row>
    <row r="73" spans="2:27" ht="76" customHeight="1" x14ac:dyDescent="0.25">
      <c r="B73" s="25"/>
      <c r="C73" s="16"/>
      <c r="D73" s="272"/>
      <c r="E73" s="16"/>
      <c r="F73" s="67"/>
      <c r="G73" s="67"/>
      <c r="H73" s="1886"/>
      <c r="J73" s="610"/>
      <c r="K73" s="2037"/>
      <c r="L73" s="610"/>
      <c r="M73" s="2038"/>
      <c r="N73" s="67"/>
      <c r="O73" s="1531"/>
      <c r="R73" s="2039"/>
      <c r="S73" s="2039"/>
      <c r="T73" s="2039"/>
      <c r="U73" s="2039"/>
      <c r="W73" s="2250"/>
      <c r="X73" s="2250"/>
      <c r="Y73" s="2250"/>
      <c r="AA73" s="57"/>
    </row>
    <row r="74" spans="2:27" ht="76" customHeight="1" x14ac:dyDescent="0.25">
      <c r="B74" s="25"/>
      <c r="C74" s="16"/>
      <c r="D74" s="272"/>
      <c r="E74" s="16"/>
      <c r="F74" s="67"/>
      <c r="G74" s="67"/>
      <c r="H74" s="1886"/>
      <c r="J74" s="610"/>
      <c r="K74" s="2037"/>
      <c r="L74" s="610"/>
      <c r="M74" s="2038"/>
      <c r="N74" s="67"/>
      <c r="O74" s="1531"/>
      <c r="R74" s="2039"/>
      <c r="S74" s="2039"/>
      <c r="T74" s="2039"/>
      <c r="U74" s="2039"/>
      <c r="W74" s="2250"/>
      <c r="X74" s="2250"/>
      <c r="Y74" s="2250"/>
      <c r="AA74" s="57"/>
    </row>
    <row r="75" spans="2:27" ht="76" customHeight="1" x14ac:dyDescent="0.25">
      <c r="B75" s="25"/>
      <c r="C75" s="16"/>
      <c r="D75" s="272"/>
      <c r="E75" s="16"/>
      <c r="F75" s="67"/>
      <c r="G75" s="67"/>
      <c r="H75" s="1886"/>
      <c r="J75" s="610"/>
      <c r="K75" s="2037"/>
      <c r="L75" s="610"/>
      <c r="M75" s="2038"/>
      <c r="N75" s="67"/>
      <c r="O75" s="1531"/>
      <c r="R75" s="2039"/>
      <c r="S75" s="2039"/>
      <c r="T75" s="2039"/>
      <c r="U75" s="2039"/>
      <c r="W75" s="2250"/>
      <c r="X75" s="2250"/>
      <c r="Y75" s="2250"/>
      <c r="AA75" s="57"/>
    </row>
    <row r="76" spans="2:27" ht="76" customHeight="1" x14ac:dyDescent="0.25">
      <c r="B76" s="25"/>
      <c r="C76" s="16"/>
      <c r="D76" s="272"/>
      <c r="E76" s="16"/>
      <c r="F76" s="67"/>
      <c r="G76" s="67"/>
      <c r="H76" s="1886"/>
      <c r="J76" s="610"/>
      <c r="K76" s="2037"/>
      <c r="L76" s="610"/>
      <c r="M76" s="2038"/>
      <c r="N76" s="67"/>
      <c r="O76" s="1531"/>
      <c r="R76" s="2039"/>
      <c r="S76" s="2039"/>
      <c r="T76" s="2039"/>
      <c r="U76" s="2039"/>
      <c r="W76" s="2250"/>
      <c r="X76" s="2250"/>
      <c r="Y76" s="2250"/>
      <c r="AA76" s="57"/>
    </row>
    <row r="77" spans="2:27" ht="76" customHeight="1" x14ac:dyDescent="0.25">
      <c r="B77" s="25"/>
      <c r="C77" s="16"/>
      <c r="D77" s="272"/>
      <c r="E77" s="16"/>
      <c r="F77" s="67"/>
      <c r="G77" s="67"/>
      <c r="H77" s="1886"/>
      <c r="J77" s="610"/>
      <c r="K77" s="2037"/>
      <c r="L77" s="610"/>
      <c r="M77" s="2038"/>
      <c r="N77" s="67"/>
      <c r="O77" s="1531"/>
      <c r="R77" s="2039"/>
      <c r="S77" s="2039"/>
      <c r="T77" s="2039"/>
      <c r="U77" s="2039"/>
      <c r="W77" s="2250"/>
      <c r="X77" s="2250"/>
      <c r="Y77" s="2250"/>
      <c r="AA77" s="57"/>
    </row>
    <row r="78" spans="2:27" ht="76" customHeight="1" x14ac:dyDescent="0.25">
      <c r="B78" s="25"/>
      <c r="C78" s="16"/>
      <c r="D78" s="272"/>
      <c r="E78" s="16"/>
      <c r="F78" s="67"/>
      <c r="G78" s="67"/>
      <c r="H78" s="1886"/>
      <c r="J78" s="610"/>
      <c r="K78" s="2037"/>
      <c r="L78" s="610"/>
      <c r="M78" s="2038"/>
      <c r="N78" s="67"/>
      <c r="O78" s="1531"/>
      <c r="R78" s="2039"/>
      <c r="S78" s="2039"/>
      <c r="T78" s="2039"/>
      <c r="U78" s="2039"/>
      <c r="W78" s="2250"/>
      <c r="X78" s="2250"/>
      <c r="Y78" s="2250"/>
      <c r="AA78" s="57"/>
    </row>
    <row r="79" spans="2:27" ht="76" customHeight="1" x14ac:dyDescent="0.25">
      <c r="B79" s="25"/>
      <c r="C79" s="16"/>
      <c r="D79" s="272"/>
      <c r="E79" s="16"/>
      <c r="F79" s="67"/>
      <c r="G79" s="67"/>
      <c r="H79" s="1886"/>
      <c r="J79" s="610"/>
      <c r="K79" s="2037"/>
      <c r="L79" s="610"/>
      <c r="M79" s="2038"/>
      <c r="N79" s="67"/>
      <c r="O79" s="1531"/>
      <c r="R79" s="2039"/>
      <c r="S79" s="2039"/>
      <c r="T79" s="2039"/>
      <c r="U79" s="2039"/>
      <c r="W79" s="2250"/>
      <c r="X79" s="2250"/>
      <c r="Y79" s="2250"/>
      <c r="AA79" s="57"/>
    </row>
    <row r="80" spans="2:27" ht="76" customHeight="1" x14ac:dyDescent="0.25">
      <c r="B80" s="25"/>
      <c r="C80" s="16"/>
      <c r="D80" s="272"/>
      <c r="E80" s="16"/>
      <c r="F80" s="67"/>
      <c r="G80" s="67"/>
      <c r="H80" s="1886"/>
      <c r="J80" s="610"/>
      <c r="K80" s="2037"/>
      <c r="L80" s="610"/>
      <c r="M80" s="2038"/>
      <c r="N80" s="67"/>
      <c r="O80" s="1531"/>
      <c r="R80" s="2039"/>
      <c r="S80" s="2039"/>
      <c r="T80" s="2039"/>
      <c r="U80" s="2039"/>
      <c r="W80" s="2250"/>
      <c r="X80" s="2250"/>
      <c r="Y80" s="2250"/>
      <c r="AA80" s="57"/>
    </row>
    <row r="81" spans="2:27" ht="76" customHeight="1" x14ac:dyDescent="0.25">
      <c r="B81" s="25"/>
      <c r="C81" s="16"/>
      <c r="D81" s="272"/>
      <c r="E81" s="16"/>
      <c r="F81" s="67"/>
      <c r="G81" s="67"/>
      <c r="H81" s="1886"/>
      <c r="J81" s="610"/>
      <c r="K81" s="2037"/>
      <c r="L81" s="610"/>
      <c r="M81" s="2038"/>
      <c r="N81" s="67"/>
      <c r="O81" s="1531"/>
      <c r="R81" s="2039"/>
      <c r="S81" s="2039"/>
      <c r="T81" s="2039"/>
      <c r="U81" s="2039"/>
      <c r="W81" s="2250"/>
      <c r="X81" s="2250"/>
      <c r="Y81" s="2250"/>
      <c r="AA81" s="57"/>
    </row>
    <row r="82" spans="2:27" ht="76" customHeight="1" x14ac:dyDescent="0.25">
      <c r="B82" s="25"/>
      <c r="C82" s="16"/>
      <c r="D82" s="272"/>
      <c r="E82" s="16"/>
      <c r="F82" s="67"/>
      <c r="G82" s="67"/>
      <c r="H82" s="1886"/>
      <c r="J82" s="610"/>
      <c r="K82" s="2037"/>
      <c r="L82" s="610"/>
      <c r="M82" s="2038"/>
      <c r="N82" s="67"/>
      <c r="O82" s="1531"/>
      <c r="R82" s="2039"/>
      <c r="S82" s="2039"/>
      <c r="T82" s="2039"/>
      <c r="U82" s="2039"/>
      <c r="W82" s="2250"/>
      <c r="X82" s="2250"/>
      <c r="Y82" s="2250"/>
      <c r="AA82" s="57"/>
    </row>
    <row r="83" spans="2:27" ht="76" customHeight="1" x14ac:dyDescent="0.25">
      <c r="B83" s="25"/>
      <c r="C83" s="16"/>
      <c r="D83" s="272"/>
      <c r="E83" s="16"/>
      <c r="F83" s="67"/>
      <c r="G83" s="67"/>
      <c r="H83" s="1886"/>
      <c r="J83" s="610"/>
      <c r="K83" s="2037"/>
      <c r="L83" s="610"/>
      <c r="M83" s="2038"/>
      <c r="N83" s="67"/>
      <c r="O83" s="1531"/>
      <c r="R83" s="2039"/>
      <c r="S83" s="2039"/>
      <c r="T83" s="2039"/>
      <c r="U83" s="2039"/>
      <c r="W83" s="2250"/>
      <c r="X83" s="2250"/>
      <c r="Y83" s="2250"/>
      <c r="AA83" s="57"/>
    </row>
    <row r="84" spans="2:27" ht="76" customHeight="1" x14ac:dyDescent="0.25">
      <c r="B84" s="25"/>
      <c r="C84" s="16"/>
      <c r="D84" s="272"/>
      <c r="E84" s="16"/>
      <c r="F84" s="67"/>
      <c r="G84" s="67"/>
      <c r="H84" s="1886"/>
      <c r="J84" s="610"/>
      <c r="K84" s="2037"/>
      <c r="L84" s="610"/>
      <c r="M84" s="2038"/>
      <c r="N84" s="67"/>
      <c r="O84" s="1531"/>
      <c r="R84" s="2039"/>
      <c r="S84" s="2039"/>
      <c r="T84" s="2039"/>
      <c r="U84" s="2039"/>
      <c r="W84" s="2250"/>
      <c r="X84" s="2250"/>
      <c r="Y84" s="2250"/>
      <c r="AA84" s="57"/>
    </row>
    <row r="85" spans="2:27" ht="76" customHeight="1" x14ac:dyDescent="0.25">
      <c r="B85" s="25"/>
      <c r="C85" s="16"/>
      <c r="D85" s="272"/>
      <c r="E85" s="16"/>
      <c r="F85" s="67"/>
      <c r="G85" s="67"/>
      <c r="H85" s="1886"/>
      <c r="J85" s="610"/>
      <c r="K85" s="2037"/>
      <c r="L85" s="610"/>
      <c r="M85" s="2038"/>
      <c r="N85" s="67"/>
      <c r="O85" s="1531"/>
      <c r="R85" s="2039"/>
      <c r="S85" s="2039"/>
      <c r="T85" s="2039"/>
      <c r="U85" s="2039"/>
      <c r="W85" s="2250"/>
      <c r="X85" s="2250"/>
      <c r="Y85" s="2250"/>
      <c r="AA85" s="57"/>
    </row>
    <row r="86" spans="2:27" ht="76" customHeight="1" x14ac:dyDescent="0.25">
      <c r="B86" s="25"/>
      <c r="C86" s="16"/>
      <c r="D86" s="272"/>
      <c r="E86" s="16"/>
      <c r="F86" s="67"/>
      <c r="G86" s="67"/>
      <c r="H86" s="1886"/>
      <c r="J86" s="610"/>
      <c r="K86" s="2037"/>
      <c r="L86" s="610"/>
      <c r="M86" s="2038"/>
      <c r="N86" s="67"/>
      <c r="O86" s="1531"/>
      <c r="R86" s="2039"/>
      <c r="S86" s="2039"/>
      <c r="T86" s="2039"/>
      <c r="U86" s="2039"/>
      <c r="W86" s="2250"/>
      <c r="X86" s="2250"/>
      <c r="Y86" s="2250"/>
      <c r="AA86" s="57"/>
    </row>
    <row r="87" spans="2:27" ht="76" customHeight="1" x14ac:dyDescent="0.25">
      <c r="B87" s="25"/>
      <c r="C87" s="16"/>
      <c r="D87" s="272"/>
      <c r="E87" s="16"/>
      <c r="F87" s="67"/>
      <c r="G87" s="67"/>
      <c r="H87" s="1886"/>
      <c r="J87" s="610"/>
      <c r="K87" s="2037"/>
      <c r="L87" s="610"/>
      <c r="M87" s="2038"/>
      <c r="N87" s="67"/>
      <c r="O87" s="1531"/>
      <c r="R87" s="2039"/>
      <c r="S87" s="2039"/>
      <c r="T87" s="2039"/>
      <c r="U87" s="2039"/>
      <c r="W87" s="2250"/>
      <c r="X87" s="2250"/>
      <c r="Y87" s="2250"/>
      <c r="AA87" s="57"/>
    </row>
    <row r="88" spans="2:27" ht="76" customHeight="1" x14ac:dyDescent="0.25">
      <c r="B88" s="25"/>
      <c r="C88" s="16"/>
      <c r="D88" s="272"/>
      <c r="E88" s="16"/>
      <c r="F88" s="67"/>
      <c r="G88" s="67"/>
      <c r="H88" s="1886"/>
      <c r="J88" s="610"/>
      <c r="K88" s="2037"/>
      <c r="L88" s="610"/>
      <c r="M88" s="2038"/>
      <c r="N88" s="67"/>
      <c r="O88" s="1531"/>
      <c r="R88" s="2039"/>
      <c r="S88" s="2039"/>
      <c r="T88" s="2039"/>
      <c r="U88" s="2039"/>
      <c r="W88" s="2250"/>
      <c r="X88" s="2250"/>
      <c r="Y88" s="2250"/>
      <c r="AA88" s="57"/>
    </row>
    <row r="89" spans="2:27" ht="76" customHeight="1" x14ac:dyDescent="0.25">
      <c r="B89" s="25"/>
      <c r="C89" s="16"/>
      <c r="D89" s="272"/>
      <c r="E89" s="16"/>
      <c r="F89" s="67"/>
      <c r="G89" s="67"/>
      <c r="H89" s="1886"/>
      <c r="J89" s="610"/>
      <c r="K89" s="2037"/>
      <c r="L89" s="610"/>
      <c r="M89" s="2038"/>
      <c r="N89" s="67"/>
      <c r="O89" s="1531"/>
      <c r="R89" s="2039"/>
      <c r="S89" s="2039"/>
      <c r="T89" s="2039"/>
      <c r="U89" s="2039"/>
      <c r="W89" s="2250"/>
      <c r="X89" s="2250"/>
      <c r="Y89" s="2250"/>
      <c r="AA89" s="57"/>
    </row>
    <row r="90" spans="2:27" ht="76" customHeight="1" x14ac:dyDescent="0.25">
      <c r="B90" s="25"/>
      <c r="C90" s="16"/>
      <c r="D90" s="272"/>
      <c r="E90" s="16"/>
      <c r="F90" s="67"/>
      <c r="G90" s="67"/>
      <c r="H90" s="1886"/>
      <c r="J90" s="610"/>
      <c r="K90" s="2037"/>
      <c r="L90" s="610"/>
      <c r="M90" s="2038"/>
      <c r="N90" s="67"/>
      <c r="O90" s="1531"/>
      <c r="R90" s="2039"/>
      <c r="S90" s="2039"/>
      <c r="T90" s="2039"/>
      <c r="U90" s="2039"/>
      <c r="W90" s="2250"/>
      <c r="X90" s="2250"/>
      <c r="Y90" s="2250"/>
      <c r="AA90" s="57"/>
    </row>
    <row r="91" spans="2:27" ht="76" customHeight="1" x14ac:dyDescent="0.25">
      <c r="B91" s="25"/>
      <c r="C91" s="16"/>
      <c r="D91" s="272"/>
      <c r="E91" s="16"/>
      <c r="F91" s="67"/>
      <c r="G91" s="67"/>
      <c r="H91" s="1886"/>
      <c r="J91" s="610"/>
      <c r="K91" s="2037"/>
      <c r="L91" s="610"/>
      <c r="M91" s="2038"/>
      <c r="N91" s="67"/>
      <c r="O91" s="1531"/>
      <c r="R91" s="2039"/>
      <c r="S91" s="2039"/>
      <c r="T91" s="2039"/>
      <c r="U91" s="2039"/>
      <c r="W91" s="2250"/>
      <c r="X91" s="2250"/>
      <c r="Y91" s="2250"/>
      <c r="AA91" s="57"/>
    </row>
    <row r="92" spans="2:27" ht="76" customHeight="1" x14ac:dyDescent="0.25">
      <c r="B92" s="25"/>
      <c r="C92" s="16"/>
      <c r="D92" s="272"/>
      <c r="E92" s="16"/>
      <c r="F92" s="67"/>
      <c r="G92" s="67"/>
      <c r="H92" s="1886"/>
      <c r="J92" s="610"/>
      <c r="K92" s="2037"/>
      <c r="L92" s="610"/>
      <c r="M92" s="2038"/>
      <c r="N92" s="67"/>
      <c r="O92" s="1531"/>
      <c r="R92" s="2039"/>
      <c r="S92" s="2039"/>
      <c r="T92" s="2039"/>
      <c r="U92" s="2039"/>
      <c r="W92" s="2250"/>
      <c r="X92" s="2250"/>
      <c r="Y92" s="2250"/>
      <c r="AA92" s="57"/>
    </row>
    <row r="93" spans="2:27" ht="76" customHeight="1" x14ac:dyDescent="0.25">
      <c r="B93" s="25"/>
      <c r="C93" s="16"/>
      <c r="D93" s="272"/>
      <c r="E93" s="16"/>
      <c r="F93" s="67"/>
      <c r="G93" s="67"/>
      <c r="H93" s="1886"/>
      <c r="J93" s="610"/>
      <c r="K93" s="2037"/>
      <c r="L93" s="610"/>
      <c r="M93" s="2038"/>
      <c r="N93" s="67"/>
      <c r="O93" s="1531"/>
      <c r="R93" s="2039"/>
      <c r="S93" s="2039"/>
      <c r="T93" s="2039"/>
      <c r="U93" s="2039"/>
      <c r="W93" s="2250"/>
      <c r="X93" s="2250"/>
      <c r="Y93" s="2250"/>
      <c r="AA93" s="57"/>
    </row>
    <row r="94" spans="2:27" ht="76" customHeight="1" x14ac:dyDescent="0.25">
      <c r="B94" s="25"/>
      <c r="C94" s="16"/>
      <c r="D94" s="272"/>
      <c r="E94" s="16"/>
      <c r="F94" s="67"/>
      <c r="G94" s="67"/>
      <c r="H94" s="1886"/>
      <c r="J94" s="610"/>
      <c r="K94" s="2037"/>
      <c r="L94" s="610"/>
      <c r="M94" s="2038"/>
      <c r="N94" s="67"/>
      <c r="O94" s="1531"/>
      <c r="R94" s="2039"/>
      <c r="S94" s="2039"/>
      <c r="T94" s="2039"/>
      <c r="U94" s="2039"/>
      <c r="W94" s="2250"/>
      <c r="X94" s="2250"/>
      <c r="Y94" s="2250"/>
      <c r="AA94" s="57"/>
    </row>
    <row r="95" spans="2:27" ht="76" customHeight="1" x14ac:dyDescent="0.25">
      <c r="B95" s="25"/>
      <c r="C95" s="16"/>
      <c r="D95" s="272"/>
      <c r="E95" s="16"/>
      <c r="F95" s="67"/>
      <c r="G95" s="67"/>
      <c r="H95" s="1886"/>
      <c r="J95" s="610"/>
      <c r="K95" s="2037"/>
      <c r="L95" s="610"/>
      <c r="M95" s="2038"/>
      <c r="N95" s="67"/>
      <c r="O95" s="1531"/>
      <c r="R95" s="2039"/>
      <c r="S95" s="2039"/>
      <c r="T95" s="2039"/>
      <c r="U95" s="2039"/>
      <c r="W95" s="2250"/>
      <c r="X95" s="2250"/>
      <c r="Y95" s="2250"/>
      <c r="AA95" s="57"/>
    </row>
    <row r="96" spans="2:27" ht="76" customHeight="1" x14ac:dyDescent="0.25">
      <c r="B96" s="25"/>
      <c r="C96" s="16"/>
      <c r="D96" s="272"/>
      <c r="E96" s="16"/>
      <c r="F96" s="67"/>
      <c r="G96" s="67"/>
      <c r="H96" s="1886"/>
      <c r="J96" s="610"/>
      <c r="K96" s="2037"/>
      <c r="L96" s="610"/>
      <c r="M96" s="2038"/>
      <c r="N96" s="67"/>
      <c r="O96" s="1531"/>
      <c r="R96" s="2039"/>
      <c r="S96" s="2039"/>
      <c r="T96" s="2039"/>
      <c r="U96" s="2039"/>
      <c r="W96" s="2250"/>
      <c r="X96" s="2250"/>
      <c r="Y96" s="2250"/>
      <c r="AA96" s="57"/>
    </row>
    <row r="97" spans="2:28" ht="76" customHeight="1" x14ac:dyDescent="0.25">
      <c r="B97" s="25"/>
      <c r="C97" s="16"/>
      <c r="D97" s="272"/>
      <c r="E97" s="16"/>
      <c r="F97" s="67"/>
      <c r="G97" s="67"/>
      <c r="H97" s="1886"/>
      <c r="J97" s="610"/>
      <c r="K97" s="2037"/>
      <c r="L97" s="610"/>
      <c r="M97" s="2038"/>
      <c r="N97" s="67"/>
      <c r="O97" s="1531"/>
      <c r="R97" s="2039"/>
      <c r="S97" s="2039"/>
      <c r="T97" s="2039"/>
      <c r="U97" s="2039"/>
      <c r="W97" s="2250"/>
      <c r="X97" s="2250"/>
      <c r="Y97" s="2250"/>
      <c r="AA97" s="57"/>
    </row>
    <row r="98" spans="2:28" ht="76" customHeight="1" x14ac:dyDescent="0.25">
      <c r="B98" s="25"/>
      <c r="C98" s="16"/>
      <c r="D98" s="272"/>
      <c r="E98" s="16"/>
      <c r="F98" s="67"/>
      <c r="G98" s="67"/>
      <c r="H98" s="1886"/>
      <c r="J98" s="610"/>
      <c r="K98" s="2037"/>
      <c r="L98" s="610"/>
      <c r="M98" s="2038"/>
      <c r="N98" s="67"/>
      <c r="O98" s="1531"/>
      <c r="R98" s="2039"/>
      <c r="S98" s="2039"/>
      <c r="T98" s="2039"/>
      <c r="U98" s="2039"/>
      <c r="W98" s="2250"/>
      <c r="X98" s="2250"/>
      <c r="Y98" s="2250"/>
      <c r="AA98" s="57"/>
    </row>
    <row r="99" spans="2:28" ht="76" customHeight="1" x14ac:dyDescent="0.25">
      <c r="B99" s="25"/>
      <c r="C99" s="16"/>
      <c r="D99" s="272"/>
      <c r="E99" s="16"/>
      <c r="F99" s="67"/>
      <c r="G99" s="67"/>
      <c r="H99" s="1886"/>
      <c r="J99" s="610"/>
      <c r="K99" s="2037"/>
      <c r="L99" s="610"/>
      <c r="M99" s="2038"/>
      <c r="N99" s="67"/>
      <c r="O99" s="1531"/>
      <c r="R99" s="2039"/>
      <c r="S99" s="2039"/>
      <c r="T99" s="2039"/>
      <c r="U99" s="2039"/>
      <c r="W99" s="2250"/>
      <c r="X99" s="2250"/>
      <c r="Y99" s="2250"/>
      <c r="AA99" s="57"/>
    </row>
    <row r="100" spans="2:28" ht="76" customHeight="1" x14ac:dyDescent="0.25">
      <c r="B100" s="25"/>
      <c r="C100" s="16"/>
      <c r="D100" s="272"/>
      <c r="E100" s="16"/>
      <c r="F100" s="67"/>
      <c r="G100" s="67"/>
      <c r="H100" s="1886"/>
      <c r="J100" s="610"/>
      <c r="K100" s="2037"/>
      <c r="L100" s="610"/>
      <c r="M100" s="2038"/>
      <c r="N100" s="67"/>
      <c r="O100" s="1531"/>
      <c r="R100" s="2039"/>
      <c r="S100" s="2039"/>
      <c r="T100" s="2039"/>
      <c r="U100" s="2039"/>
      <c r="W100" s="2250"/>
      <c r="X100" s="2250"/>
      <c r="Y100" s="2250"/>
      <c r="AA100" s="57"/>
    </row>
    <row r="101" spans="2:28" ht="76" customHeight="1" x14ac:dyDescent="0.25">
      <c r="B101" s="25"/>
      <c r="C101" s="16"/>
      <c r="D101" s="272"/>
      <c r="E101" s="16"/>
      <c r="F101" s="67"/>
      <c r="G101" s="67"/>
      <c r="H101" s="1886"/>
      <c r="J101" s="610"/>
      <c r="K101" s="2037"/>
      <c r="L101" s="610"/>
      <c r="M101" s="2038"/>
      <c r="N101" s="67"/>
      <c r="O101" s="1531"/>
      <c r="R101" s="2039"/>
      <c r="S101" s="2039"/>
      <c r="T101" s="2039"/>
      <c r="U101" s="2039"/>
      <c r="W101" s="2250"/>
      <c r="X101" s="2250"/>
      <c r="Y101" s="2250"/>
      <c r="AA101" s="57"/>
    </row>
    <row r="102" spans="2:28" ht="76" customHeight="1" x14ac:dyDescent="0.25">
      <c r="B102" s="25"/>
      <c r="C102" s="16"/>
      <c r="D102" s="272"/>
      <c r="E102" s="16"/>
      <c r="F102" s="67"/>
      <c r="G102" s="67"/>
      <c r="H102" s="1886"/>
      <c r="J102" s="610"/>
      <c r="K102" s="2037"/>
      <c r="L102" s="610"/>
      <c r="M102" s="2038"/>
      <c r="N102" s="67"/>
      <c r="O102" s="1531"/>
      <c r="R102" s="2039"/>
      <c r="S102" s="2039"/>
      <c r="T102" s="2039"/>
      <c r="U102" s="2039"/>
      <c r="W102" s="2250"/>
      <c r="X102" s="2250"/>
      <c r="Y102" s="2250"/>
      <c r="AA102" s="57"/>
    </row>
    <row r="103" spans="2:28" ht="76" customHeight="1" x14ac:dyDescent="0.25">
      <c r="B103" s="25"/>
      <c r="C103" s="16"/>
      <c r="D103" s="272"/>
      <c r="E103" s="16"/>
      <c r="F103" s="67"/>
      <c r="G103" s="67"/>
      <c r="H103" s="1886"/>
      <c r="J103" s="610"/>
      <c r="K103" s="2037"/>
      <c r="L103" s="610"/>
      <c r="M103" s="2038"/>
      <c r="N103" s="67"/>
      <c r="O103" s="1531"/>
      <c r="R103" s="2039"/>
      <c r="S103" s="2039"/>
      <c r="T103" s="2039"/>
      <c r="U103" s="2039"/>
      <c r="W103" s="2250"/>
      <c r="X103" s="2250"/>
      <c r="Y103" s="2250"/>
      <c r="AA103" s="57"/>
    </row>
    <row r="104" spans="2:28" ht="76" customHeight="1" x14ac:dyDescent="0.25">
      <c r="B104" s="25"/>
      <c r="C104" s="16"/>
      <c r="D104" s="272"/>
      <c r="E104" s="16"/>
      <c r="F104" s="67"/>
      <c r="G104" s="67"/>
      <c r="H104" s="1886"/>
      <c r="J104" s="610"/>
      <c r="K104" s="2037"/>
      <c r="L104" s="610"/>
      <c r="M104" s="2038"/>
      <c r="N104" s="67"/>
      <c r="O104" s="1531"/>
      <c r="R104" s="2039"/>
      <c r="S104" s="2039"/>
      <c r="T104" s="2039"/>
      <c r="U104" s="2039"/>
      <c r="W104" s="2176"/>
      <c r="X104" s="2176"/>
      <c r="Y104" s="2176"/>
      <c r="AA104" s="57"/>
    </row>
    <row r="105" spans="2:28" ht="76" customHeight="1" x14ac:dyDescent="0.25">
      <c r="B105" s="25"/>
      <c r="C105" s="16"/>
      <c r="D105" s="272"/>
      <c r="E105" s="16"/>
      <c r="F105" s="67"/>
      <c r="G105" s="67"/>
      <c r="H105" s="1886"/>
      <c r="J105" s="610"/>
      <c r="K105" s="2037"/>
      <c r="L105" s="610"/>
      <c r="M105" s="2038"/>
      <c r="N105" s="67"/>
      <c r="O105" s="1531"/>
      <c r="R105" s="2039"/>
      <c r="S105" s="2039"/>
      <c r="T105" s="2039"/>
      <c r="U105" s="2039"/>
      <c r="W105" s="2176"/>
      <c r="X105" s="2176"/>
      <c r="Y105" s="2176"/>
      <c r="AA105" s="57"/>
    </row>
    <row r="106" spans="2:28" ht="76" customHeight="1" x14ac:dyDescent="0.25">
      <c r="B106" s="25"/>
      <c r="C106" s="16"/>
      <c r="D106" s="272"/>
      <c r="E106" s="16"/>
      <c r="F106" s="67"/>
      <c r="G106" s="67"/>
      <c r="H106" s="1886"/>
      <c r="J106" s="610"/>
      <c r="K106" s="2037"/>
      <c r="L106" s="610"/>
      <c r="M106" s="2038"/>
      <c r="N106" s="67"/>
      <c r="O106" s="1531"/>
      <c r="R106" s="2039"/>
      <c r="S106" s="2039"/>
      <c r="T106" s="2039"/>
      <c r="U106" s="2039"/>
      <c r="W106" s="2176"/>
      <c r="X106" s="2176"/>
      <c r="Y106" s="2176"/>
      <c r="AA106" s="57"/>
    </row>
    <row r="107" spans="2:28" ht="65" customHeight="1" x14ac:dyDescent="0.2">
      <c r="B107" s="25"/>
      <c r="C107" s="16"/>
      <c r="D107" s="272"/>
      <c r="E107" s="16"/>
      <c r="F107" s="67"/>
      <c r="G107" s="67"/>
      <c r="H107" s="1886"/>
      <c r="J107" s="610"/>
      <c r="K107" s="2037"/>
      <c r="L107" s="610"/>
      <c r="M107" s="2038"/>
      <c r="N107" s="67"/>
      <c r="O107" s="1531"/>
      <c r="R107" s="2039"/>
      <c r="S107" s="2039"/>
      <c r="T107" s="2039"/>
      <c r="U107" s="2039"/>
      <c r="V107" s="1460"/>
      <c r="W107" s="1460"/>
      <c r="X107" s="1460"/>
      <c r="Y107" s="1460"/>
    </row>
    <row r="108" spans="2:28" ht="65" customHeight="1" x14ac:dyDescent="0.2">
      <c r="B108" s="25"/>
      <c r="C108" s="16"/>
      <c r="D108" s="272"/>
      <c r="E108" s="16"/>
      <c r="F108" s="67"/>
      <c r="G108" s="67"/>
      <c r="H108" s="1886"/>
      <c r="J108" s="610"/>
      <c r="K108" s="2037"/>
      <c r="L108" s="610"/>
      <c r="M108" s="2038"/>
      <c r="N108" s="67"/>
      <c r="O108" s="1531"/>
      <c r="R108" s="2039"/>
      <c r="S108" s="2039"/>
      <c r="T108" s="2039"/>
      <c r="U108" s="2039"/>
    </row>
    <row r="109" spans="2:28" ht="65" customHeight="1" x14ac:dyDescent="0.25">
      <c r="B109" s="25"/>
      <c r="C109" s="16"/>
      <c r="D109" s="272"/>
      <c r="E109" s="16"/>
      <c r="F109" s="67"/>
      <c r="G109" s="67"/>
      <c r="H109" s="1886"/>
      <c r="J109" s="610"/>
      <c r="K109" s="2037"/>
      <c r="L109" s="610"/>
      <c r="M109" s="2038"/>
      <c r="N109" s="67"/>
      <c r="O109" s="1531"/>
      <c r="R109" s="2039"/>
      <c r="S109" s="2039"/>
      <c r="T109" s="2039"/>
      <c r="U109" s="2039"/>
      <c r="V109" s="34" t="s">
        <v>2021</v>
      </c>
    </row>
    <row r="110" spans="2:28" ht="111" customHeight="1" x14ac:dyDescent="0.2">
      <c r="B110" s="25"/>
      <c r="C110" s="16"/>
      <c r="D110" s="272"/>
      <c r="E110" s="16"/>
      <c r="F110" s="67"/>
      <c r="G110" s="67"/>
      <c r="H110" s="1886"/>
      <c r="J110" s="610"/>
      <c r="K110" s="2037"/>
      <c r="L110" s="610"/>
      <c r="M110" s="2038"/>
      <c r="N110" s="67"/>
      <c r="O110" s="1531"/>
      <c r="R110" s="2039"/>
      <c r="S110" s="2039"/>
      <c r="T110" s="2039"/>
      <c r="U110" s="2039"/>
      <c r="V110" s="2574" t="s">
        <v>1995</v>
      </c>
      <c r="W110" s="2575"/>
      <c r="X110" s="2328"/>
      <c r="Y110" s="2328"/>
    </row>
    <row r="111" spans="2:28" ht="29" customHeight="1" x14ac:dyDescent="0.2">
      <c r="B111" s="272"/>
      <c r="C111" s="16"/>
      <c r="D111" s="272"/>
      <c r="E111" s="16"/>
      <c r="F111" s="16"/>
      <c r="G111" s="16"/>
      <c r="H111" s="1531"/>
      <c r="J111" s="8"/>
      <c r="K111" s="272"/>
      <c r="L111" s="8"/>
      <c r="M111" s="8"/>
      <c r="N111" s="8"/>
      <c r="O111" s="1886"/>
      <c r="V111" s="2102"/>
      <c r="W111" s="2103"/>
      <c r="X111" s="2071"/>
      <c r="Y111" s="2071"/>
    </row>
    <row r="112" spans="2:28" ht="29" customHeight="1" x14ac:dyDescent="0.35">
      <c r="B112" s="272"/>
      <c r="C112" s="16"/>
      <c r="D112" s="272"/>
      <c r="E112" s="16"/>
      <c r="F112" s="16"/>
      <c r="G112" s="16"/>
      <c r="H112" s="1531"/>
      <c r="J112" s="8"/>
      <c r="K112" s="272"/>
      <c r="L112" s="8"/>
      <c r="M112" s="8"/>
      <c r="N112" s="8"/>
      <c r="O112" s="1886"/>
      <c r="R112" s="1940"/>
      <c r="S112" s="1940"/>
      <c r="T112" s="1940"/>
      <c r="U112" s="1940"/>
      <c r="V112" s="2104" t="s">
        <v>1838</v>
      </c>
      <c r="W112" s="2101" t="s">
        <v>1709</v>
      </c>
      <c r="X112" s="2329"/>
      <c r="Y112" s="2329"/>
      <c r="AB112" s="288" t="s">
        <v>1848</v>
      </c>
    </row>
    <row r="113" spans="2:30" ht="29" customHeight="1" x14ac:dyDescent="0.2">
      <c r="C113" s="16"/>
      <c r="D113" s="272"/>
      <c r="E113" s="16"/>
      <c r="F113" s="16"/>
      <c r="G113" s="16"/>
      <c r="H113" s="1531"/>
      <c r="J113" s="8"/>
      <c r="K113" s="272"/>
      <c r="L113" s="8"/>
      <c r="M113" s="8"/>
      <c r="N113" s="8"/>
      <c r="O113" s="1886"/>
      <c r="V113" s="2104"/>
      <c r="W113" s="2113"/>
      <c r="X113" s="2330"/>
      <c r="Y113" s="2330"/>
      <c r="AC113" t="s">
        <v>260</v>
      </c>
      <c r="AD113" t="s">
        <v>238</v>
      </c>
    </row>
    <row r="114" spans="2:30" ht="35" customHeight="1" x14ac:dyDescent="0.2">
      <c r="B114" s="272"/>
      <c r="C114" s="16"/>
      <c r="D114" s="272"/>
      <c r="E114" s="16"/>
      <c r="F114" s="16"/>
      <c r="G114" s="16"/>
      <c r="H114" s="1531"/>
      <c r="J114" s="8"/>
      <c r="K114" s="272"/>
      <c r="L114" s="8"/>
      <c r="M114" s="8"/>
      <c r="N114" s="8"/>
      <c r="O114" s="1886"/>
      <c r="R114" s="8" t="s">
        <v>1818</v>
      </c>
      <c r="S114" s="8"/>
      <c r="T114" s="8"/>
      <c r="U114" s="8"/>
      <c r="V114" s="2045" t="s">
        <v>1842</v>
      </c>
      <c r="W114" s="2105" t="s">
        <v>1871</v>
      </c>
      <c r="X114" s="16"/>
      <c r="Y114" s="16"/>
      <c r="AB114" t="str">
        <f>B35</f>
        <v xml:space="preserve">Évite de questionner l’enfant à son retour de garde  </v>
      </c>
      <c r="AC114" s="55">
        <f>F35</f>
        <v>10</v>
      </c>
      <c r="AD114" s="55">
        <f>M35</f>
        <v>4</v>
      </c>
    </row>
    <row r="115" spans="2:30" ht="55" customHeight="1" thickBot="1" x14ac:dyDescent="0.25">
      <c r="B115" s="1144"/>
      <c r="C115" s="615"/>
      <c r="D115" s="1144"/>
      <c r="E115" s="615"/>
      <c r="F115" s="615"/>
      <c r="G115" s="16" t="s">
        <v>1837</v>
      </c>
      <c r="H115" s="2035"/>
      <c r="I115" s="294"/>
      <c r="J115" s="1191"/>
      <c r="K115" s="1144"/>
      <c r="L115" s="1191"/>
      <c r="M115" s="1191"/>
      <c r="N115" s="16" t="s">
        <v>1837</v>
      </c>
      <c r="O115" s="2036"/>
      <c r="V115" s="2045"/>
      <c r="W115" s="2105"/>
      <c r="X115" s="16"/>
      <c r="Y115" s="16"/>
      <c r="AB115" t="str">
        <f>B23</f>
        <v>Salue l’autre parent lorsqu’il ou elle le croise</v>
      </c>
      <c r="AC115" s="55">
        <f>F23</f>
        <v>4</v>
      </c>
      <c r="AD115" s="55">
        <f>M23</f>
        <v>1</v>
      </c>
    </row>
    <row r="116" spans="2:30" ht="13" customHeight="1" x14ac:dyDescent="0.2">
      <c r="B116" s="25"/>
      <c r="C116" s="1262"/>
      <c r="D116" s="1670"/>
      <c r="E116" s="1902"/>
      <c r="F116" s="1902"/>
      <c r="G116" s="1902"/>
      <c r="H116" s="1884"/>
      <c r="I116" s="605"/>
      <c r="J116" s="1262"/>
      <c r="K116" s="1670"/>
      <c r="L116" s="1902"/>
      <c r="M116" s="1902"/>
      <c r="N116" s="1902"/>
      <c r="O116" s="1884"/>
      <c r="Q116" s="2248"/>
      <c r="R116" s="8"/>
      <c r="S116" s="8"/>
      <c r="T116" s="8"/>
      <c r="U116" s="8"/>
      <c r="V116" s="2119"/>
      <c r="W116" s="2118"/>
      <c r="AB116" t="str">
        <f>B26</f>
        <v xml:space="preserve">Évite de faire des reproches au coparent </v>
      </c>
      <c r="AC116" s="55">
        <f>F26</f>
        <v>4</v>
      </c>
      <c r="AD116" s="55">
        <f>M26</f>
        <v>2</v>
      </c>
    </row>
    <row r="117" spans="2:30" x14ac:dyDescent="0.2">
      <c r="B117" s="25"/>
      <c r="D117" s="291"/>
      <c r="E117" s="5"/>
      <c r="H117" s="757"/>
      <c r="K117" s="291"/>
      <c r="L117" s="5"/>
      <c r="O117" s="757"/>
      <c r="Q117" s="2248"/>
      <c r="R117" s="8"/>
      <c r="S117" s="8"/>
      <c r="T117" s="8"/>
      <c r="U117" s="8"/>
      <c r="V117" s="2119"/>
      <c r="W117" s="2118"/>
      <c r="AB117" t="str">
        <f>B33</f>
        <v xml:space="preserve">Protège l'enfant du rôle de messager </v>
      </c>
      <c r="AC117" s="55">
        <f>F33</f>
        <v>4</v>
      </c>
      <c r="AD117" s="55">
        <f>M33</f>
        <v>7</v>
      </c>
    </row>
    <row r="119" spans="2:30" ht="35" customHeight="1" x14ac:dyDescent="0.2">
      <c r="Q119" s="1821"/>
      <c r="V119" s="2122"/>
      <c r="W119" s="2123"/>
      <c r="X119" s="1460"/>
      <c r="Y119" s="1460"/>
      <c r="AB119" t="str">
        <f>B32</f>
        <v>Accepte que les objets voyagent d’une maison à l’autre</v>
      </c>
      <c r="AC119" s="55">
        <f>F32</f>
        <v>7</v>
      </c>
      <c r="AD119" s="55">
        <f>M32</f>
        <v>1</v>
      </c>
    </row>
    <row r="120" spans="2:30" x14ac:dyDescent="0.2">
      <c r="B120" s="25"/>
      <c r="C120" s="16"/>
      <c r="D120" s="272"/>
      <c r="E120" s="16"/>
      <c r="F120" s="16"/>
      <c r="G120" s="16"/>
      <c r="H120" s="1531"/>
      <c r="K120" s="291"/>
      <c r="L120" s="5"/>
      <c r="O120" s="757"/>
      <c r="Q120" s="2246"/>
      <c r="R120" s="8"/>
      <c r="S120" s="8"/>
      <c r="T120" s="8"/>
      <c r="U120" s="8"/>
      <c r="V120" s="2119"/>
      <c r="W120" s="2118"/>
      <c r="AC120" s="55"/>
      <c r="AD120" s="55"/>
    </row>
    <row r="121" spans="2:30" x14ac:dyDescent="0.2">
      <c r="B121" s="25"/>
      <c r="C121" s="16"/>
      <c r="D121" s="272"/>
      <c r="E121" s="16"/>
      <c r="F121" s="16"/>
      <c r="G121" s="16"/>
      <c r="H121" s="1531"/>
      <c r="J121" s="610"/>
      <c r="K121" s="272"/>
      <c r="L121" s="16"/>
      <c r="M121" s="16"/>
      <c r="N121" s="16"/>
      <c r="O121" s="1531"/>
      <c r="Q121" s="2246"/>
      <c r="R121" s="8"/>
      <c r="S121" s="8"/>
      <c r="T121" s="8"/>
      <c r="U121" s="8"/>
      <c r="V121" s="2119"/>
      <c r="W121" s="2118"/>
      <c r="AC121" s="55"/>
      <c r="AD121" s="55"/>
    </row>
    <row r="122" spans="2:30" ht="31" customHeight="1" x14ac:dyDescent="0.2">
      <c r="B122" s="25"/>
      <c r="C122" s="16"/>
      <c r="D122" s="272"/>
      <c r="E122" s="16"/>
      <c r="F122" s="16"/>
      <c r="G122" s="16"/>
      <c r="H122" s="1531"/>
      <c r="J122" s="8"/>
      <c r="K122" s="272"/>
      <c r="L122" s="16"/>
      <c r="M122" s="16"/>
      <c r="N122" s="16"/>
      <c r="O122" s="1886"/>
      <c r="Q122" s="1821"/>
      <c r="R122" s="8"/>
      <c r="S122" s="8"/>
      <c r="T122" s="8"/>
      <c r="U122" s="8"/>
      <c r="V122" s="2122"/>
      <c r="W122" s="2123"/>
      <c r="X122" s="1460"/>
      <c r="Y122" s="1460"/>
      <c r="AC122" s="55"/>
      <c r="AD122" s="55"/>
    </row>
    <row r="123" spans="2:30" x14ac:dyDescent="0.2">
      <c r="B123" s="272"/>
      <c r="C123" s="610"/>
      <c r="D123" s="272"/>
      <c r="E123" s="16"/>
      <c r="F123" s="16"/>
      <c r="G123" s="16"/>
      <c r="H123" s="1531"/>
      <c r="J123" s="610"/>
      <c r="K123" s="272"/>
      <c r="L123" s="16"/>
      <c r="M123" s="16"/>
      <c r="N123" s="16"/>
      <c r="O123" s="1531"/>
      <c r="Q123" s="2246"/>
      <c r="R123" s="8"/>
      <c r="S123" s="8"/>
      <c r="T123" s="8"/>
      <c r="U123" s="8"/>
      <c r="V123" s="2119"/>
      <c r="W123" s="2118"/>
      <c r="AC123" s="55"/>
      <c r="AD123" s="55"/>
    </row>
    <row r="124" spans="2:30" ht="34" customHeight="1" x14ac:dyDescent="0.2">
      <c r="J124" s="610"/>
      <c r="K124" s="272"/>
      <c r="L124" s="272"/>
      <c r="M124" s="16"/>
      <c r="N124" s="16"/>
      <c r="O124" s="604"/>
      <c r="Q124" s="1821"/>
      <c r="V124" s="2122"/>
      <c r="W124" s="2123"/>
      <c r="X124" s="1460"/>
      <c r="Y124" s="1460"/>
      <c r="AC124" s="55"/>
      <c r="AD124" s="55"/>
    </row>
    <row r="125" spans="2:30" ht="55" customHeight="1" x14ac:dyDescent="0.3">
      <c r="R125" s="2043"/>
      <c r="S125" s="2043"/>
      <c r="T125" s="2043"/>
      <c r="U125" s="2043"/>
      <c r="V125" s="2120"/>
      <c r="W125" s="2121"/>
      <c r="AC125" s="55"/>
      <c r="AD125" s="55"/>
    </row>
    <row r="126" spans="2:30" ht="59" customHeight="1" x14ac:dyDescent="0.2">
      <c r="R126" s="2117" t="s">
        <v>1839</v>
      </c>
      <c r="S126" s="2039"/>
      <c r="T126" s="2039"/>
      <c r="U126" s="2039"/>
      <c r="V126" s="2112"/>
      <c r="W126" s="2112"/>
      <c r="X126" s="2112"/>
      <c r="Y126" s="2112"/>
      <c r="AC126" s="55"/>
      <c r="AD126" s="55"/>
    </row>
    <row r="127" spans="2:30" ht="22" customHeight="1" x14ac:dyDescent="0.2">
      <c r="R127" s="2039"/>
      <c r="S127" s="2039"/>
      <c r="T127" s="2039"/>
      <c r="U127" s="2039"/>
      <c r="V127" s="2112"/>
      <c r="W127" s="2112"/>
      <c r="X127" s="2112"/>
      <c r="Y127" s="2112"/>
    </row>
    <row r="128" spans="2:30" ht="37" customHeight="1" x14ac:dyDescent="0.3">
      <c r="B128" s="25"/>
      <c r="C128" s="16"/>
      <c r="D128" s="272"/>
      <c r="E128" s="16"/>
      <c r="F128" s="67"/>
      <c r="G128" s="67"/>
      <c r="H128" s="1886"/>
      <c r="J128" s="610"/>
      <c r="K128" s="2037"/>
      <c r="L128" s="610"/>
      <c r="M128" s="2038"/>
      <c r="N128" s="67"/>
      <c r="O128" s="1531"/>
      <c r="Q128" s="16"/>
      <c r="R128" s="2043"/>
      <c r="S128" s="2386"/>
      <c r="T128" s="2386"/>
      <c r="U128" s="2386"/>
      <c r="V128" s="2208"/>
      <c r="W128" s="2208"/>
      <c r="X128" s="2208"/>
      <c r="Y128" s="2208"/>
      <c r="AC128" s="55"/>
      <c r="AD128" s="55"/>
    </row>
    <row r="129" spans="2:30" ht="37" customHeight="1" x14ac:dyDescent="0.3">
      <c r="B129" s="25"/>
      <c r="C129" s="16"/>
      <c r="D129" s="272"/>
      <c r="E129" s="16"/>
      <c r="F129" s="67"/>
      <c r="G129" s="67"/>
      <c r="H129" s="1886"/>
      <c r="J129" s="610"/>
      <c r="K129" s="2037"/>
      <c r="L129" s="610"/>
      <c r="M129" s="2038"/>
      <c r="N129" s="67"/>
      <c r="O129" s="1531"/>
      <c r="Q129" s="16"/>
      <c r="R129" s="2043"/>
      <c r="S129" s="2386"/>
      <c r="T129" s="2386"/>
      <c r="U129" s="2386"/>
      <c r="V129" s="2208"/>
      <c r="W129" s="2208"/>
      <c r="X129" s="2208"/>
      <c r="Y129" s="2208"/>
      <c r="AC129" s="55"/>
      <c r="AD129" s="55"/>
    </row>
    <row r="130" spans="2:30" ht="78" customHeight="1" x14ac:dyDescent="0.2">
      <c r="V130" s="1838" t="s">
        <v>2011</v>
      </c>
    </row>
    <row r="131" spans="2:30" ht="78" customHeight="1" thickBot="1" x14ac:dyDescent="0.3">
      <c r="W131" s="2176" t="s">
        <v>2000</v>
      </c>
      <c r="X131" s="2176"/>
      <c r="Y131" s="2176"/>
    </row>
    <row r="132" spans="2:30" ht="78" customHeight="1" thickBot="1" x14ac:dyDescent="0.25">
      <c r="B132" s="629" t="s">
        <v>2088</v>
      </c>
      <c r="C132" s="612" t="str">
        <f>BIBLE!E190</f>
        <v>E12</v>
      </c>
      <c r="D132" s="616" t="str">
        <f>BIBLE!F190</f>
        <v xml:space="preserve">Est-il déjà arrivé que votre enfant dénigre vos compétences parentales devant l’autre parent ? </v>
      </c>
      <c r="E132" s="612">
        <f>Test_Bible!D294</f>
        <v>3</v>
      </c>
      <c r="F132" s="1898">
        <f>Test_Bible!P294</f>
        <v>3</v>
      </c>
      <c r="G132" s="1898">
        <f>E132*F132</f>
        <v>9</v>
      </c>
      <c r="H132" s="1667" t="str">
        <f>BIBLE!V190</f>
        <v>Dénigrement</v>
      </c>
      <c r="I132" s="618"/>
      <c r="J132" s="632" t="str">
        <f>BIBLE!E123</f>
        <v>PFA23a</v>
      </c>
      <c r="K132" s="1671" t="str">
        <f>BIBLE!F123</f>
        <v xml:space="preserve">Arrive-t-il que l'autre parent s'impose sa présence lors de fêtes ou d'activités destinés aux enfants ? </v>
      </c>
      <c r="L132" s="632">
        <f>Test_Bible!D205</f>
        <v>1</v>
      </c>
      <c r="M132" s="1905">
        <f>Test_Bible!P205</f>
        <v>10</v>
      </c>
      <c r="N132" s="1904">
        <f>L132*M132</f>
        <v>10</v>
      </c>
      <c r="O132" s="1908" t="str">
        <f>BIBLE!V123</f>
        <v>Interférence lien affectif ou symbolique</v>
      </c>
      <c r="Q132" s="2572" t="s">
        <v>1843</v>
      </c>
      <c r="V132" s="1460"/>
      <c r="W132" s="1460"/>
      <c r="X132" s="1460"/>
      <c r="Y132" s="1460"/>
    </row>
    <row r="133" spans="2:30" ht="17" thickBot="1" x14ac:dyDescent="0.25">
      <c r="B133" s="25"/>
      <c r="D133" s="291"/>
      <c r="E133" s="5"/>
      <c r="H133" s="757"/>
      <c r="K133" s="1916"/>
      <c r="L133" s="5"/>
      <c r="O133" s="757"/>
      <c r="Q133" s="2570"/>
    </row>
    <row r="134" spans="2:30" ht="52" thickBot="1" x14ac:dyDescent="0.25">
      <c r="B134" s="629" t="s">
        <v>2087</v>
      </c>
      <c r="C134" s="612" t="str">
        <f>BIBLE!E172</f>
        <v>E15a</v>
      </c>
      <c r="D134" s="616" t="str">
        <f>BIBLE!F172</f>
        <v>Arrive-t-il à votre enfant de vous accuser de voler de l’argent à son autre parent ou d'être responsable de son apauvrissement ?</v>
      </c>
      <c r="E134" s="612" t="str">
        <f>Test_Bible!D258</f>
        <v>Custom</v>
      </c>
      <c r="F134" s="1898">
        <f>Test_Bible!P258</f>
        <v>0</v>
      </c>
      <c r="G134" s="1898" t="e">
        <f>E134*F134</f>
        <v>#VALUE!</v>
      </c>
      <c r="H134" s="1890" t="str">
        <f>BIBLE!V172</f>
        <v>Dénigrement</v>
      </c>
      <c r="I134" s="617"/>
      <c r="J134" s="679" t="str">
        <f>BIBLE!E115</f>
        <v>PFA20</v>
      </c>
      <c r="K134" s="1668" t="str">
        <f>BIBLE!F115</f>
        <v>Il est facile de communiquer avec votre enfant lorsqu’il est chez l’autre parent.</v>
      </c>
      <c r="L134" s="1877">
        <f>Test_Bible!D189</f>
        <v>2</v>
      </c>
      <c r="M134" s="1904">
        <f>Test_Bible!P189</f>
        <v>7</v>
      </c>
      <c r="N134" s="1904">
        <f>L134*M134</f>
        <v>14</v>
      </c>
      <c r="O134" s="1880" t="str">
        <f>BIBLE!V115</f>
        <v>Interférence temps et/ou communication</v>
      </c>
      <c r="Q134" s="2573"/>
    </row>
    <row r="139" spans="2:30" ht="17" thickBot="1" x14ac:dyDescent="0.25"/>
    <row r="140" spans="2:30" ht="58" customHeight="1" thickBot="1" x14ac:dyDescent="0.25">
      <c r="B140" s="629" t="s">
        <v>2089</v>
      </c>
      <c r="C140" s="612" t="str">
        <f>BIBLE!E174</f>
        <v>E16a</v>
      </c>
      <c r="D140" s="616" t="str">
        <f>BIBLE!F174</f>
        <v>Dans quel contexte votre enfant demande-t-il ou elle à changer les horaires de garde et de visite chez l'un et l'autre des parents ?</v>
      </c>
      <c r="E140" s="612">
        <f>Test_Bible!D260</f>
        <v>0</v>
      </c>
      <c r="F140" s="1898">
        <f>Test_Bible!P260</f>
        <v>0</v>
      </c>
      <c r="G140" s="1898">
        <f>E140*F140</f>
        <v>0</v>
      </c>
      <c r="H140" s="1890">
        <f>BIBLE!V174</f>
        <v>0</v>
      </c>
      <c r="I140" s="618"/>
      <c r="J140" s="1878" t="str">
        <f>BIBLE!E118</f>
        <v>PFA20a1a</v>
      </c>
      <c r="K140" s="633" t="str">
        <f>BIBLE!F118</f>
        <v>Arrive-t-il que l'autre parent se présente à votre lieu de travail ou votre domicile sans s'annoncer ou sans invitation ?</v>
      </c>
      <c r="L140" s="1667">
        <f>Test_Bible!D192</f>
        <v>3</v>
      </c>
      <c r="M140" s="1904">
        <f>Test_Bible!P192</f>
        <v>0</v>
      </c>
      <c r="N140" s="1904">
        <f>L140*M140</f>
        <v>0</v>
      </c>
      <c r="O140" s="1881" t="str">
        <f>BIBLE!V118</f>
        <v>Interférence temps et/ou communication</v>
      </c>
      <c r="P140" s="1435"/>
      <c r="Q140" s="2572" t="s">
        <v>1841</v>
      </c>
    </row>
    <row r="141" spans="2:30" ht="17" thickBot="1" x14ac:dyDescent="0.25">
      <c r="B141" s="25"/>
      <c r="C141" s="16"/>
      <c r="D141" s="272"/>
      <c r="E141" s="16"/>
      <c r="F141" s="16"/>
      <c r="G141" s="16"/>
      <c r="H141" s="1531"/>
      <c r="J141" s="498"/>
      <c r="K141" s="272"/>
      <c r="L141" s="16"/>
      <c r="M141" s="16"/>
      <c r="N141" s="16"/>
      <c r="O141" s="1886"/>
      <c r="P141" s="8"/>
      <c r="Q141" s="2570"/>
    </row>
    <row r="142" spans="2:30" ht="69" customHeight="1" thickBot="1" x14ac:dyDescent="0.25">
      <c r="B142" s="748" t="s">
        <v>674</v>
      </c>
      <c r="C142" s="612" t="str">
        <f>BIBLE!E187</f>
        <v>E24</v>
      </c>
      <c r="D142" s="616" t="str">
        <f>BIBLE!F187</f>
        <v>L'autre parent a informé votre enfant du contexte juridique, financier ou autre associé au conflit vous opposant.</v>
      </c>
      <c r="E142" s="612">
        <f>Test_Bible!D276</f>
        <v>3</v>
      </c>
      <c r="F142" s="1898">
        <f>Test_Bible!P276</f>
        <v>0</v>
      </c>
      <c r="G142" s="1898">
        <f>E142*F142</f>
        <v>0</v>
      </c>
      <c r="H142" s="1895" t="str">
        <f>BIBLE!V162</f>
        <v>Altération ou dévoiement de la réalité</v>
      </c>
      <c r="I142" s="618"/>
      <c r="J142" s="632" t="str">
        <f>BIBLE!E121</f>
        <v>PFA22</v>
      </c>
      <c r="K142" s="1671" t="str">
        <f>BIBLE!F121</f>
        <v>Dans quelle mesure diriez-vous que l'autre parent accepte ou vit bien avec les exigences de la coparentalité (logistique horaire, transport, vacances, etc.) ?</v>
      </c>
      <c r="L142" s="632">
        <f>Test_Bible!D195</f>
        <v>2</v>
      </c>
      <c r="M142" s="1905">
        <f>Test_Bible!P195</f>
        <v>7</v>
      </c>
      <c r="N142" s="1904">
        <f>L142*M142</f>
        <v>14</v>
      </c>
      <c r="O142" s="1880" t="str">
        <f>BIBLE!V121</f>
        <v>Interférence lien affectif ou symbolique</v>
      </c>
      <c r="P142" s="8"/>
      <c r="Q142" s="2573"/>
    </row>
    <row r="143" spans="2:30" ht="17" thickBot="1" x14ac:dyDescent="0.25"/>
    <row r="144" spans="2:30" ht="65" customHeight="1" thickBot="1" x14ac:dyDescent="0.25">
      <c r="B144" s="629" t="s">
        <v>675</v>
      </c>
      <c r="C144" s="612" t="str">
        <f>BIBLE!E129</f>
        <v>PFA28</v>
      </c>
      <c r="D144" s="616" t="str">
        <f>BIBLE!F129</f>
        <v xml:space="preserve">L’autre parent permet à votre enfant d'apporter des objets (jouets ou cadeaux reçus) provenant de chez vous. </v>
      </c>
      <c r="E144" s="612">
        <f>Test_Bible!D215</f>
        <v>0</v>
      </c>
      <c r="F144" s="1898">
        <f>Test_Bible!P215</f>
        <v>0</v>
      </c>
      <c r="G144" s="1898">
        <f>E144*F144</f>
        <v>0</v>
      </c>
      <c r="H144" s="1894" t="str">
        <f>BIBLE!V129</f>
        <v>Interférence lien affectif ou symbolique</v>
      </c>
      <c r="I144" s="618"/>
      <c r="J144" s="632" t="str">
        <f>BIBLE!E89</f>
        <v>PFA06</v>
      </c>
      <c r="K144" s="1671" t="str">
        <f>BIBLE!F89</f>
        <v>L'autre parent modifie certains faits concernant votre passé à son avantage ou à votre désavantage.</v>
      </c>
      <c r="L144" s="2245">
        <f>Test_Bible!D163</f>
        <v>1</v>
      </c>
      <c r="M144" s="1905">
        <f>Test_Bible!P163</f>
        <v>10</v>
      </c>
      <c r="N144" s="1905">
        <f>L144*M144</f>
        <v>10</v>
      </c>
      <c r="O144" s="1885" t="str">
        <f>BIBLE!V89</f>
        <v>Altération ou dévoiement de la réalité</v>
      </c>
      <c r="R144" s="67"/>
      <c r="S144" s="67"/>
      <c r="T144" s="67"/>
      <c r="U144" s="67"/>
      <c r="V144" s="2119"/>
      <c r="W144" s="2118"/>
    </row>
    <row r="145" spans="2:30" ht="17" thickBot="1" x14ac:dyDescent="0.25">
      <c r="B145" s="25"/>
      <c r="C145" s="16"/>
      <c r="D145" s="272"/>
      <c r="E145" s="16"/>
      <c r="F145" s="16"/>
      <c r="G145" s="16"/>
      <c r="H145" s="1531"/>
      <c r="K145" s="291"/>
      <c r="L145" s="5"/>
      <c r="O145" s="757"/>
      <c r="R145" s="8"/>
      <c r="S145" s="8"/>
      <c r="T145" s="8"/>
      <c r="U145" s="8"/>
      <c r="V145" s="2119"/>
      <c r="W145" s="2118"/>
      <c r="AC145" s="55"/>
      <c r="AD145" s="55"/>
    </row>
    <row r="146" spans="2:30" ht="71" customHeight="1" thickBot="1" x14ac:dyDescent="0.25">
      <c r="B146" s="629" t="s">
        <v>676</v>
      </c>
      <c r="C146" s="612" t="str">
        <f>BIBLE!E131</f>
        <v>PFA39</v>
      </c>
      <c r="D146" s="616" t="str">
        <f>BIBLE!F131</f>
        <v xml:space="preserve">Dans quelle mesure est-ce que l'autre parent se dit impuissant et non responsable de la décision de votre enfant de ne plus respecter l'entente de garde ? </v>
      </c>
      <c r="E146" s="612">
        <f>Test_Bible!D217</f>
        <v>2</v>
      </c>
      <c r="F146" s="1898">
        <f>Test_Bible!P217</f>
        <v>0</v>
      </c>
      <c r="G146" s="1898">
        <f>E146*F146</f>
        <v>0</v>
      </c>
      <c r="H146" s="1893" t="str">
        <f>BIBLE!V131</f>
        <v>Interférence lien affectif ou symbolique</v>
      </c>
      <c r="I146" s="618"/>
      <c r="J146" s="632" t="str">
        <f>BIBLE!E91</f>
        <v>PFA07</v>
      </c>
      <c r="K146" s="1671" t="str">
        <f>BIBLE!F91</f>
        <v>L’autre parent culpabilise votre enfant de sa relation ou de son amour pour vous.</v>
      </c>
      <c r="L146" s="632">
        <f>Test_Bible!D159</f>
        <v>0</v>
      </c>
      <c r="M146" s="1905">
        <f>Test_Bible!P159</f>
        <v>0</v>
      </c>
      <c r="N146" s="1905">
        <f>L146*M146</f>
        <v>0</v>
      </c>
      <c r="O146" s="1879" t="str">
        <f>BIBLE!V91</f>
        <v>Chantage affectif, manipulation</v>
      </c>
    </row>
  </sheetData>
  <mergeCells count="11">
    <mergeCell ref="X11:Y11"/>
    <mergeCell ref="Q132:Q134"/>
    <mergeCell ref="Q140:Q142"/>
    <mergeCell ref="Q19:Q26"/>
    <mergeCell ref="Q32:Q37"/>
    <mergeCell ref="V110:W110"/>
    <mergeCell ref="S11:U11"/>
    <mergeCell ref="S13:S14"/>
    <mergeCell ref="T13:T14"/>
    <mergeCell ref="U13:U14"/>
    <mergeCell ref="V11:W11"/>
  </mergeCells>
  <pageMargins left="0.7" right="0.7" top="0.75" bottom="0.75" header="0.3" footer="0.3"/>
  <pageSetup scale="56" fitToHeight="2" orientation="landscape"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75355-82CA-0F4F-839D-3687B13472AC}">
  <dimension ref="A1:U121"/>
  <sheetViews>
    <sheetView topLeftCell="C13" zoomScale="110" zoomScaleNormal="110" workbookViewId="0">
      <selection activeCell="C4" sqref="C4"/>
    </sheetView>
  </sheetViews>
  <sheetFormatPr baseColWidth="10" defaultRowHeight="16" x14ac:dyDescent="0.2"/>
  <cols>
    <col min="1" max="1" width="22.6640625" customWidth="1"/>
    <col min="2" max="2" width="49.1640625" customWidth="1"/>
    <col min="3" max="3" width="70.1640625" bestFit="1" customWidth="1"/>
    <col min="4" max="4" width="9.5" style="8" bestFit="1" customWidth="1"/>
    <col min="5" max="5" width="15.1640625" bestFit="1" customWidth="1"/>
    <col min="6" max="6" width="9.6640625" style="5" bestFit="1" customWidth="1"/>
    <col min="7" max="7" width="22.1640625" style="5" customWidth="1"/>
    <col min="8" max="8" width="43.5" style="5" customWidth="1"/>
    <col min="9" max="10" width="43.5" style="706" customWidth="1"/>
    <col min="11" max="11" width="18" style="5" customWidth="1"/>
    <col min="12" max="12" width="85.83203125" style="706" customWidth="1"/>
    <col min="13" max="13" width="62.33203125" style="25" customWidth="1"/>
    <col min="14" max="14" width="62.5" style="13" customWidth="1"/>
    <col min="15" max="15" width="37.1640625" customWidth="1"/>
    <col min="16" max="16" width="27.1640625" customWidth="1"/>
    <col min="17" max="17" width="31.83203125" customWidth="1"/>
    <col min="18" max="18" width="41" customWidth="1"/>
    <col min="19" max="19" width="45.83203125" bestFit="1" customWidth="1"/>
    <col min="20" max="20" width="37" bestFit="1" customWidth="1"/>
    <col min="21" max="21" width="22.6640625" bestFit="1" customWidth="1"/>
    <col min="22" max="22" width="58.6640625" bestFit="1" customWidth="1"/>
    <col min="23" max="23" width="20.5" bestFit="1" customWidth="1"/>
    <col min="24" max="24" width="37.33203125" bestFit="1" customWidth="1"/>
    <col min="25" max="25" width="28" bestFit="1" customWidth="1"/>
    <col min="26" max="26" width="47" bestFit="1" customWidth="1"/>
    <col min="27" max="27" width="18" bestFit="1" customWidth="1"/>
    <col min="28" max="28" width="34" bestFit="1" customWidth="1"/>
    <col min="29" max="29" width="42" bestFit="1" customWidth="1"/>
    <col min="30" max="30" width="27" bestFit="1" customWidth="1"/>
    <col min="31" max="31" width="12.33203125" bestFit="1" customWidth="1"/>
  </cols>
  <sheetData>
    <row r="1" spans="1:21" ht="53" customHeight="1" x14ac:dyDescent="0.3">
      <c r="A1" s="1731" t="s">
        <v>1632</v>
      </c>
    </row>
    <row r="2" spans="1:21" ht="53" customHeight="1" x14ac:dyDescent="0.25">
      <c r="A2" s="410" t="s">
        <v>2003</v>
      </c>
      <c r="C2" s="2178" t="s">
        <v>2317</v>
      </c>
      <c r="N2" s="2579"/>
      <c r="O2" s="2579"/>
      <c r="P2" s="2579"/>
      <c r="Q2" s="80"/>
      <c r="R2" s="80"/>
    </row>
    <row r="3" spans="1:21" ht="399" customHeight="1" x14ac:dyDescent="0.2">
      <c r="C3" s="82" t="s">
        <v>2499</v>
      </c>
      <c r="D3" s="13"/>
      <c r="E3" s="13"/>
      <c r="F3" s="13"/>
      <c r="G3" s="1916"/>
      <c r="H3" s="82" t="s">
        <v>2106</v>
      </c>
      <c r="I3" s="834"/>
      <c r="J3" s="834"/>
      <c r="K3" s="1916"/>
      <c r="O3" s="1766"/>
    </row>
    <row r="4" spans="1:21" ht="156" customHeight="1" x14ac:dyDescent="0.25">
      <c r="A4" s="410" t="s">
        <v>2004</v>
      </c>
      <c r="C4" s="2407" t="s">
        <v>2352</v>
      </c>
      <c r="D4" s="1460"/>
      <c r="E4" s="1460"/>
      <c r="F4" s="1460"/>
      <c r="G4" s="1460"/>
      <c r="O4" s="1766"/>
    </row>
    <row r="5" spans="1:21" ht="36" customHeight="1" x14ac:dyDescent="0.3">
      <c r="A5" s="606"/>
      <c r="H5" s="2556" t="s">
        <v>2215</v>
      </c>
      <c r="I5" s="2556"/>
      <c r="J5" s="2557"/>
      <c r="K5" s="2574" t="s">
        <v>2214</v>
      </c>
      <c r="L5" s="2575"/>
      <c r="M5" s="2564" t="s">
        <v>2200</v>
      </c>
      <c r="N5" s="2564"/>
      <c r="O5" s="1766"/>
    </row>
    <row r="6" spans="1:21" ht="69" customHeight="1" x14ac:dyDescent="0.2">
      <c r="L6" s="272"/>
      <c r="M6" s="25" t="s">
        <v>1744</v>
      </c>
      <c r="N6" s="13" t="s">
        <v>1849</v>
      </c>
    </row>
    <row r="7" spans="1:21" ht="85" x14ac:dyDescent="0.25">
      <c r="B7" t="s">
        <v>18</v>
      </c>
      <c r="C7" s="8" t="s">
        <v>1572</v>
      </c>
      <c r="D7" s="16" t="s">
        <v>1535</v>
      </c>
      <c r="E7" s="16" t="s">
        <v>1571</v>
      </c>
      <c r="F7" s="1732" t="s">
        <v>409</v>
      </c>
      <c r="G7" s="16" t="s">
        <v>2051</v>
      </c>
      <c r="H7" s="16" t="s">
        <v>2111</v>
      </c>
      <c r="I7" s="16" t="s">
        <v>1744</v>
      </c>
      <c r="J7" s="16" t="s">
        <v>1849</v>
      </c>
      <c r="K7" s="8" t="s">
        <v>2104</v>
      </c>
      <c r="L7" s="545" t="s">
        <v>2363</v>
      </c>
      <c r="M7" s="16"/>
      <c r="N7" s="13" t="s">
        <v>2476</v>
      </c>
      <c r="P7" s="16"/>
      <c r="S7" s="16"/>
      <c r="T7" s="16"/>
      <c r="U7" s="49"/>
    </row>
    <row r="8" spans="1:21" ht="21" x14ac:dyDescent="0.25">
      <c r="C8" s="8"/>
      <c r="D8" s="16"/>
      <c r="E8" s="16"/>
      <c r="F8" s="1732"/>
      <c r="G8" s="16"/>
      <c r="H8" s="16"/>
      <c r="I8" s="16"/>
      <c r="J8" s="16"/>
      <c r="K8" s="16"/>
      <c r="L8" s="272">
        <v>1</v>
      </c>
      <c r="M8" s="16"/>
      <c r="P8" s="16"/>
      <c r="S8" s="16"/>
      <c r="T8" s="16"/>
      <c r="U8" s="49"/>
    </row>
    <row r="9" spans="1:21" ht="17" x14ac:dyDescent="0.2">
      <c r="A9" t="s">
        <v>95</v>
      </c>
      <c r="B9" t="str">
        <f>BIBLE!V85</f>
        <v>Altération ou dévoiement de la réalité</v>
      </c>
      <c r="C9" s="55" t="str">
        <f>BIBLE!R85</f>
        <v>Laisse entendre à l'enfant que l'autre parent a abandonné la famille</v>
      </c>
      <c r="D9" s="6">
        <f>IF(Test_Bible!B171="","",Test_Bible!Q171)</f>
        <v>7</v>
      </c>
      <c r="F9" s="1727"/>
      <c r="G9" s="90">
        <f>IF(AND(D9="",E9="",F9=""),"",MAX(D9,E9)+F9)</f>
        <v>7</v>
      </c>
      <c r="H9" s="2423" t="str">
        <f>IF(G9="","",IF(OR(G9&gt;$G$15,G9&gt;20),"à inclure",""))</f>
        <v/>
      </c>
      <c r="I9" s="2423" t="str">
        <f>IF(G9="","",IF(OR(G9&gt;$G$15,G9&gt;20),M9,""))</f>
        <v/>
      </c>
      <c r="J9" s="2423" t="str">
        <f>IF(G9="","",IF(OR(G9&gt;$G$15,G9&gt;20),N9,""))</f>
        <v/>
      </c>
      <c r="K9" s="90"/>
      <c r="L9" s="2416"/>
      <c r="M9" s="2412"/>
      <c r="N9" s="2408"/>
      <c r="P9" s="90"/>
      <c r="S9" s="90"/>
      <c r="T9" s="90"/>
    </row>
    <row r="10" spans="1:21" ht="17" x14ac:dyDescent="0.2">
      <c r="A10" t="s">
        <v>424</v>
      </c>
      <c r="B10" t="str">
        <f>BIBLE!V86</f>
        <v>Altération ou dévoiement de la réalité</v>
      </c>
      <c r="C10" s="55" t="str">
        <f>BIBLE!R86</f>
        <v>Laisse entendre à l'enfant qu'il n'est pas aimé de l'autre parent</v>
      </c>
      <c r="D10" s="6">
        <f>IF(Test_Bible!B172="","",Test_Bible!Q172)</f>
        <v>8</v>
      </c>
      <c r="F10" s="1725"/>
      <c r="G10" s="5">
        <f t="shared" ref="G10:G14" si="0">IF(AND(D10="",E10="",F10=""),"",MAX(D10,E10)+F10)</f>
        <v>8</v>
      </c>
      <c r="H10" s="2423" t="str">
        <f t="shared" ref="H10:H14" si="1">IF(G10="","",IF(OR(G10&gt;$G$15,G10&gt;20),"à inclure",""))</f>
        <v/>
      </c>
      <c r="I10" s="2423" t="str">
        <f t="shared" ref="I10:I14" si="2">IF(G10="","",IF(OR(G10&gt;$G$15,G10&gt;20),M10,""))</f>
        <v/>
      </c>
      <c r="J10" s="2423" t="str">
        <f t="shared" ref="J10:J14" si="3">IF(G10="","",IF(OR(G10&gt;$G$15,G10&gt;20),N10,""))</f>
        <v/>
      </c>
      <c r="K10" s="90"/>
      <c r="L10" s="2417"/>
      <c r="M10" s="2412"/>
      <c r="N10" s="2412"/>
      <c r="P10" s="90"/>
      <c r="Q10" s="90"/>
      <c r="R10" s="90"/>
      <c r="S10" s="90"/>
      <c r="T10" s="90"/>
    </row>
    <row r="11" spans="1:21" ht="17" x14ac:dyDescent="0.2">
      <c r="A11" t="s">
        <v>1573</v>
      </c>
      <c r="B11" t="str">
        <f>BIBLE!V87</f>
        <v>Altération ou dévoiement de la réalité</v>
      </c>
      <c r="C11" s="55" t="str">
        <f>BIBLE!R87</f>
        <v>Laisse entendre à l'enfant qu'il n'est pas en sécurité avec l'autre parent</v>
      </c>
      <c r="D11" s="6">
        <f>IF(Test_Bible!B173="","",Test_Bible!Q173)</f>
        <v>14</v>
      </c>
      <c r="E11" s="90">
        <f>IF(Test_Bible!B406="","",Test_Bible!Q406)</f>
        <v>14</v>
      </c>
      <c r="F11" s="1725"/>
      <c r="G11" s="5">
        <f t="shared" si="0"/>
        <v>14</v>
      </c>
      <c r="H11" s="2423" t="str">
        <f t="shared" si="1"/>
        <v/>
      </c>
      <c r="I11" s="2423" t="str">
        <f t="shared" si="2"/>
        <v/>
      </c>
      <c r="J11" s="2423" t="str">
        <f t="shared" si="3"/>
        <v/>
      </c>
      <c r="K11" s="90"/>
      <c r="L11" s="2417"/>
      <c r="M11" s="2412"/>
      <c r="N11" s="2412"/>
      <c r="P11" s="90"/>
      <c r="Q11" s="90"/>
      <c r="R11" s="90"/>
      <c r="S11" s="90"/>
      <c r="T11" s="90"/>
    </row>
    <row r="12" spans="1:21" ht="17" x14ac:dyDescent="0.2">
      <c r="A12" t="s">
        <v>98</v>
      </c>
      <c r="B12" t="str">
        <f>BIBLE!V88</f>
        <v>Altération ou dévoiement de la réalité</v>
      </c>
      <c r="C12" s="55" t="str">
        <f>BIBLE!R88</f>
        <v>Laisse entendre à une instabilité psychologique chez l'autre parent</v>
      </c>
      <c r="D12" s="6">
        <f>IF(Test_Bible!B174="","",Test_Bible!Q174)</f>
        <v>20</v>
      </c>
      <c r="F12" s="1725"/>
      <c r="G12" s="5">
        <f t="shared" si="0"/>
        <v>20</v>
      </c>
      <c r="H12" s="2423" t="str">
        <f t="shared" si="1"/>
        <v>à inclure</v>
      </c>
      <c r="I12" s="2423">
        <f>IF(G12="","",IF(OR(G12&gt;$G$15,G12&gt;20),M12,""))</f>
        <v>0</v>
      </c>
      <c r="J12" s="2423">
        <f t="shared" si="3"/>
        <v>0</v>
      </c>
      <c r="K12" s="90"/>
      <c r="L12" s="2417"/>
      <c r="M12" s="2412"/>
      <c r="N12" s="2412"/>
      <c r="P12" s="90"/>
      <c r="Q12" s="90"/>
      <c r="R12" s="90"/>
      <c r="S12" s="90"/>
      <c r="T12" s="90"/>
    </row>
    <row r="13" spans="1:21" ht="34" x14ac:dyDescent="0.2">
      <c r="A13" t="s">
        <v>99</v>
      </c>
      <c r="B13" t="str">
        <f>BIBLE!V89</f>
        <v>Altération ou dévoiement de la réalité</v>
      </c>
      <c r="C13" s="55" t="str">
        <f>BIBLE!R89</f>
        <v>Modifie certains faits passés</v>
      </c>
      <c r="D13" s="6">
        <f>IF(Test_Bible!B175="","",Test_Bible!Q175)</f>
        <v>14</v>
      </c>
      <c r="F13" s="1725"/>
      <c r="G13" s="5">
        <f t="shared" si="0"/>
        <v>14</v>
      </c>
      <c r="H13" s="2423" t="str">
        <f t="shared" si="1"/>
        <v/>
      </c>
      <c r="I13" s="2423" t="str">
        <f t="shared" si="2"/>
        <v/>
      </c>
      <c r="J13" s="2423" t="str">
        <f t="shared" si="3"/>
        <v/>
      </c>
      <c r="K13" s="90"/>
      <c r="L13" s="2417"/>
      <c r="M13" s="2412"/>
      <c r="N13" s="2412" t="s">
        <v>2359</v>
      </c>
      <c r="P13" s="90"/>
      <c r="Q13" s="90"/>
      <c r="R13" s="90"/>
      <c r="S13" s="90"/>
      <c r="T13" s="90"/>
    </row>
    <row r="14" spans="1:21" ht="51" x14ac:dyDescent="0.2">
      <c r="A14" s="51" t="s">
        <v>100</v>
      </c>
      <c r="B14" s="51" t="str">
        <f>BIBLE!V90</f>
        <v>Altération ou dévoiement de la réalité</v>
      </c>
      <c r="C14" s="1722" t="str">
        <f>BIBLE!R90</f>
        <v>Déforme les souvenirs de l'enfant</v>
      </c>
      <c r="D14" s="1724">
        <f>IF(Test_Bible!B176="","",Test_Bible!Q176)</f>
        <v>21</v>
      </c>
      <c r="E14" s="51"/>
      <c r="F14" s="1726"/>
      <c r="G14" s="5">
        <f t="shared" si="0"/>
        <v>21</v>
      </c>
      <c r="H14" s="2423" t="str">
        <f t="shared" si="1"/>
        <v>à inclure</v>
      </c>
      <c r="I14" s="2423">
        <f t="shared" si="2"/>
        <v>0</v>
      </c>
      <c r="J14" s="2423" t="str">
        <f t="shared" si="3"/>
        <v>Ce comportement mérite un DRAPEAU ROUGE. Lorem ipsum dolor sit amet. Id voluptatem galisum.</v>
      </c>
      <c r="K14" s="90"/>
      <c r="L14" s="2417"/>
      <c r="M14" s="2413"/>
      <c r="N14" s="2412" t="s">
        <v>2359</v>
      </c>
      <c r="P14" s="90"/>
      <c r="Q14" s="90"/>
      <c r="R14" s="90"/>
      <c r="S14" s="90"/>
      <c r="T14" s="90"/>
    </row>
    <row r="15" spans="1:21" ht="71" customHeight="1" x14ac:dyDescent="0.2">
      <c r="C15" s="55"/>
      <c r="D15" s="6"/>
      <c r="G15" s="2399">
        <f>AVERAGE(G9:G14)</f>
        <v>14</v>
      </c>
      <c r="H15" s="2465" t="str">
        <f>IF(G15&gt;=$G$54,HLOOKUP(1,$L$8:$L$56,8),"")</f>
        <v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v>
      </c>
      <c r="I15" s="2424" t="str">
        <f>IF(G15&gt;=$G$54,M15,"")</f>
        <v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v>
      </c>
      <c r="J15" s="2424">
        <f>IF(G15&gt;=$G$54,N15,"")</f>
        <v>0</v>
      </c>
      <c r="K15" s="2385"/>
      <c r="L15" s="2414" t="s">
        <v>2472</v>
      </c>
      <c r="M15" s="2466" t="s">
        <v>2473</v>
      </c>
      <c r="N15" s="2412"/>
      <c r="P15" s="90"/>
      <c r="Q15" s="90"/>
      <c r="R15" s="90"/>
      <c r="S15" s="90"/>
      <c r="T15" s="90"/>
    </row>
    <row r="16" spans="1:21" ht="17" x14ac:dyDescent="0.2">
      <c r="A16" t="s">
        <v>1574</v>
      </c>
      <c r="B16" t="str">
        <f>BIBLE!V56</f>
        <v>Chantage affectif, manipulation</v>
      </c>
      <c r="C16" t="str">
        <f>BIBLE!R56</f>
        <v>Ne salue pas l'autre arent lorsqu'il ou elle le croise</v>
      </c>
      <c r="D16" s="6">
        <f>IF(Test_Bible!B182="","",Test_Bible!Q182)</f>
        <v>4</v>
      </c>
      <c r="E16" s="90">
        <f>IF(Test_Bible!B407="","",Test_Bible!Q407)</f>
        <v>7</v>
      </c>
      <c r="F16" s="1728">
        <f>IF(Test_Bible!B124="","",Test_Bible!Q124)</f>
        <v>1</v>
      </c>
      <c r="G16" s="2190">
        <f t="shared" ref="G16:G21" si="4">IF(AND(D16="",E16="",F16=""),"",MAX(D16,E16)+F16)</f>
        <v>8</v>
      </c>
      <c r="H16" s="2423" t="str">
        <f>IF(G16="","",IF(OR(G16&gt;$G$22,G16&gt;20),"à inclure",""))</f>
        <v>à inclure</v>
      </c>
      <c r="I16" s="2423">
        <f>IF(G16="","",IF(OR(G16&gt;$G$22,G16&gt;20),M16,""))</f>
        <v>0</v>
      </c>
      <c r="J16" s="2423">
        <f>IF(G16="","",IF(OR(G16&gt;$G$22,G16&gt;20),N16,""))</f>
        <v>0</v>
      </c>
      <c r="K16" s="90"/>
      <c r="L16" s="2417"/>
      <c r="M16" s="2412"/>
      <c r="N16" s="2408"/>
      <c r="P16" s="90"/>
      <c r="Q16" s="90"/>
      <c r="R16" s="90"/>
      <c r="S16" s="90"/>
      <c r="T16" s="90"/>
    </row>
    <row r="17" spans="1:20" ht="17" x14ac:dyDescent="0.2">
      <c r="A17" t="s">
        <v>1575</v>
      </c>
      <c r="B17" t="str">
        <f>BIBLE!V57</f>
        <v>Chantage affectif, manipulation</v>
      </c>
      <c r="C17" t="str">
        <f>BIBLE!R57</f>
        <v>Questionne l'enfant à son retour de garde</v>
      </c>
      <c r="D17" s="6">
        <f>IF(Test_Bible!B185="","",Test_Bible!Q185)</f>
        <v>10</v>
      </c>
      <c r="E17" s="5"/>
      <c r="F17" s="1728">
        <f>IF(Test_Bible!B125="","",Test_Bible!Q125)</f>
        <v>4</v>
      </c>
      <c r="G17" s="2190">
        <f t="shared" si="4"/>
        <v>14</v>
      </c>
      <c r="H17" s="2423" t="str">
        <f t="shared" ref="H17:H21" si="5">IF(G17="","",IF(OR(G17&gt;$G$22,G17&gt;20),"à inclure",""))</f>
        <v>à inclure</v>
      </c>
      <c r="I17" s="2423">
        <f t="shared" ref="I17:I21" si="6">IF(G17="","",IF(OR(G17&gt;$G$22,G17&gt;20),M17,""))</f>
        <v>0</v>
      </c>
      <c r="J17" s="2423">
        <f t="shared" ref="J17:J21" si="7">IF(G17="","",IF(OR(G17&gt;$G$22,G17&gt;20),N17,""))</f>
        <v>0</v>
      </c>
      <c r="K17" s="90"/>
      <c r="L17" s="2417"/>
      <c r="M17" s="2412"/>
      <c r="N17" s="2408"/>
      <c r="P17" s="90"/>
      <c r="Q17" s="90"/>
      <c r="R17" s="90"/>
      <c r="S17" s="90"/>
      <c r="T17" s="90"/>
    </row>
    <row r="18" spans="1:20" ht="17" x14ac:dyDescent="0.2">
      <c r="A18" t="s">
        <v>101</v>
      </c>
      <c r="B18" t="str">
        <f>BIBLE!V91</f>
        <v>Chantage affectif, manipulation</v>
      </c>
      <c r="C18" s="55" t="str">
        <f>BIBLE!R91</f>
        <v>Culpabilise l'enfant de son amour pour l'autre parent</v>
      </c>
      <c r="D18" s="6">
        <f>IF(Test_Bible!B177="","",Test_Bible!Q177)</f>
        <v>7</v>
      </c>
      <c r="F18" s="1725"/>
      <c r="G18" s="11">
        <f t="shared" si="4"/>
        <v>7</v>
      </c>
      <c r="H18" s="2423" t="str">
        <f t="shared" si="5"/>
        <v/>
      </c>
      <c r="I18" s="2423" t="str">
        <f>IF(G18="","",IF(OR(G18&gt;$G$22,G18&gt;20),M18,""))</f>
        <v/>
      </c>
      <c r="J18" s="2423" t="str">
        <f t="shared" si="7"/>
        <v/>
      </c>
      <c r="K18" s="90"/>
      <c r="L18" s="2417"/>
      <c r="M18" s="2412"/>
      <c r="N18" s="2408"/>
      <c r="P18" s="90"/>
      <c r="Q18" s="90"/>
      <c r="R18" s="90"/>
      <c r="S18" s="90"/>
      <c r="T18" s="90"/>
    </row>
    <row r="19" spans="1:20" ht="17" x14ac:dyDescent="0.2">
      <c r="A19" t="s">
        <v>425</v>
      </c>
      <c r="B19" t="str">
        <f>BIBLE!V92</f>
        <v>Chantage affectif, manipulation</v>
      </c>
      <c r="C19" s="55" t="str">
        <f>BIBLE!R92</f>
        <v>Boude l'enfant lorsqu'il quitte pour aller chez l'autre parent</v>
      </c>
      <c r="D19" s="6">
        <f>IF(Test_Bible!B178="","",Test_Bible!Q178)</f>
        <v>4</v>
      </c>
      <c r="F19" s="1725"/>
      <c r="G19" s="11">
        <f t="shared" si="4"/>
        <v>4</v>
      </c>
      <c r="H19" s="2423" t="str">
        <f t="shared" si="5"/>
        <v/>
      </c>
      <c r="I19" s="2423" t="str">
        <f>IF(G19="","",IF(OR(G19&gt;$G$22,G19&gt;20),M19,""))</f>
        <v/>
      </c>
      <c r="J19" s="2423" t="str">
        <f t="shared" si="7"/>
        <v/>
      </c>
      <c r="K19" s="90"/>
      <c r="L19" s="2417"/>
      <c r="M19" s="2412"/>
      <c r="N19" s="2408"/>
      <c r="P19" s="90"/>
      <c r="Q19" s="90"/>
      <c r="R19" s="1771" t="str">
        <f>B9</f>
        <v>Altération ou dévoiement de la réalité</v>
      </c>
      <c r="S19" s="90">
        <f>G15</f>
        <v>14</v>
      </c>
      <c r="T19" s="90"/>
    </row>
    <row r="20" spans="1:20" ht="34" x14ac:dyDescent="0.2">
      <c r="A20" t="s">
        <v>432</v>
      </c>
      <c r="B20" t="str">
        <f>BIBLE!V93</f>
        <v>Chantage affectif, manipulation</v>
      </c>
      <c r="C20" s="55" t="str">
        <f>BIBLE!R93</f>
        <v>Se fâche si l'enfant exprime de l'amour pour l'autre parent</v>
      </c>
      <c r="D20" s="6">
        <f>IF(Test_Bible!B179="","",Test_Bible!Q179)</f>
        <v>6</v>
      </c>
      <c r="F20" s="1725"/>
      <c r="G20" s="11">
        <f t="shared" si="4"/>
        <v>6</v>
      </c>
      <c r="H20" s="2423" t="str">
        <f t="shared" si="5"/>
        <v/>
      </c>
      <c r="I20" s="2423" t="str">
        <f t="shared" si="6"/>
        <v/>
      </c>
      <c r="J20" s="2423" t="str">
        <f t="shared" si="7"/>
        <v/>
      </c>
      <c r="K20" s="90"/>
      <c r="L20" s="2417"/>
      <c r="M20" s="2412"/>
      <c r="N20" s="2412" t="s">
        <v>2474</v>
      </c>
      <c r="P20" s="90"/>
      <c r="Q20" s="90"/>
      <c r="R20" s="1771" t="str">
        <f>B16</f>
        <v>Chantage affectif, manipulation</v>
      </c>
      <c r="S20" s="90">
        <f>G22</f>
        <v>7.8</v>
      </c>
      <c r="T20" s="90"/>
    </row>
    <row r="21" spans="1:20" ht="17" x14ac:dyDescent="0.2">
      <c r="A21" s="51" t="s">
        <v>151</v>
      </c>
      <c r="B21" s="51" t="str">
        <f>BIBLE!V146</f>
        <v>Chantage affectif, manipulation</v>
      </c>
      <c r="C21" s="1722" t="str">
        <f>BIBLE!R146</f>
        <v>Demande à l'enfant à choisir avec qui il veut vivre</v>
      </c>
      <c r="D21" s="1724" t="str">
        <f>IF(Test_Bible!B250="","",Test_Bible!Q250)</f>
        <v/>
      </c>
      <c r="E21" s="51"/>
      <c r="F21" s="1726"/>
      <c r="G21" s="11" t="str">
        <f t="shared" si="4"/>
        <v/>
      </c>
      <c r="H21" s="2423" t="str">
        <f t="shared" si="5"/>
        <v/>
      </c>
      <c r="I21" s="2423" t="str">
        <f t="shared" si="6"/>
        <v/>
      </c>
      <c r="J21" s="2423" t="str">
        <f t="shared" si="7"/>
        <v/>
      </c>
      <c r="K21" s="90"/>
      <c r="L21" s="2417"/>
      <c r="M21" s="2412"/>
      <c r="N21" s="2410"/>
      <c r="P21" s="90"/>
      <c r="Q21" s="90"/>
      <c r="R21" s="1771" t="str">
        <f>B23</f>
        <v>Dénigrement</v>
      </c>
      <c r="S21" s="90">
        <f>G27</f>
        <v>5</v>
      </c>
      <c r="T21" s="90"/>
    </row>
    <row r="22" spans="1:20" ht="85" x14ac:dyDescent="0.2">
      <c r="C22" s="55"/>
      <c r="D22" s="6"/>
      <c r="G22" s="2399">
        <f>AVERAGE(G16:G21)</f>
        <v>7.8</v>
      </c>
      <c r="H22" s="2424" t="str">
        <f>IF(G22&gt;=$G$54,HLOOKUP(1,$L$8:$L$56,15),"")</f>
        <v/>
      </c>
      <c r="I22" s="2424" t="str">
        <f>IF(G22&gt;=$G$54,M22,"")</f>
        <v/>
      </c>
      <c r="J22" s="2424" t="str">
        <f>IF(G22&gt;=$G$54,N22,"")</f>
        <v/>
      </c>
      <c r="K22" s="2385"/>
      <c r="L22" s="2414" t="s">
        <v>2353</v>
      </c>
      <c r="M22" s="2466" t="s">
        <v>2475</v>
      </c>
      <c r="N22" s="2409"/>
      <c r="P22" s="90"/>
      <c r="Q22" s="90"/>
      <c r="R22" s="1771" t="str">
        <f>B28</f>
        <v>Interférence temps et/ou communication</v>
      </c>
      <c r="S22" s="90">
        <f>G37</f>
        <v>15</v>
      </c>
      <c r="T22" s="90"/>
    </row>
    <row r="23" spans="1:20" ht="17" x14ac:dyDescent="0.2">
      <c r="A23" t="s">
        <v>2097</v>
      </c>
      <c r="B23" t="str">
        <f>BIBLE!V60</f>
        <v>Dénigrement</v>
      </c>
      <c r="C23" t="str">
        <f>BIBLE!R60</f>
        <v>Fait des reproches à l'autre parent devant l'enfant</v>
      </c>
      <c r="D23" s="6">
        <f>IF(Test_Bible!B186="","",Test_Bible!Q186)</f>
        <v>4</v>
      </c>
      <c r="E23" s="90">
        <f>IF(Test_Bible!B415="","",Test_Bible!Q415)</f>
        <v>3</v>
      </c>
      <c r="F23" s="1728">
        <f>IF(Test_Bible!B134="","",Test_Bible!Q134)</f>
        <v>2</v>
      </c>
      <c r="G23" s="2190">
        <f t="shared" ref="G23:G26" si="8">IF(AND(D23="",E23="",F23=""),"",MAX(D23,E23)+F23)</f>
        <v>6</v>
      </c>
      <c r="H23" s="2423" t="str">
        <f>IF(G23="","",IF(OR(G23&gt;$G$27,G23&gt;20),"à inclure",""))</f>
        <v>à inclure</v>
      </c>
      <c r="I23" s="2423">
        <f>IF(G23="","",IF(OR(G23&gt;$G$27,G23&gt;20),M23,""))</f>
        <v>0</v>
      </c>
      <c r="J23" s="2423">
        <f>IF(G23="","",IF(OR(G23&gt;$G$27,G23&gt;20),N23,""))</f>
        <v>0</v>
      </c>
      <c r="K23" s="90"/>
      <c r="L23" s="2417"/>
      <c r="M23" s="2412"/>
      <c r="N23" s="2408"/>
      <c r="P23" s="90"/>
      <c r="Q23" s="90"/>
      <c r="R23" s="1771" t="str">
        <f>B38</f>
        <v>Interférence lien affectif ou symbolique</v>
      </c>
      <c r="S23" s="90">
        <f>G43</f>
        <v>12.75</v>
      </c>
      <c r="T23" s="90"/>
    </row>
    <row r="24" spans="1:20" ht="17" x14ac:dyDescent="0.2">
      <c r="A24" t="s">
        <v>1578</v>
      </c>
      <c r="B24" t="str">
        <f>BIBLE!V104</f>
        <v>Dénigrement</v>
      </c>
      <c r="C24" s="55" t="str">
        <f>BIBLE!R104</f>
        <v>Dénigre la nouvelle famille</v>
      </c>
      <c r="D24" s="6" t="str">
        <f>IF(Test_Bible!B190="","",Test_Bible!Q190)</f>
        <v/>
      </c>
      <c r="E24" s="90" t="str">
        <f>IF(Test_Bible!B416="","",Test_Bible!Q416)</f>
        <v/>
      </c>
      <c r="F24" s="1725"/>
      <c r="G24" s="11" t="str">
        <f t="shared" si="8"/>
        <v/>
      </c>
      <c r="H24" s="2423" t="str">
        <f t="shared" ref="H24:H26" si="9">IF(G24="","",IF(OR(G24&gt;$G$27,G24&gt;20),"à inclure",""))</f>
        <v/>
      </c>
      <c r="I24" s="2423" t="str">
        <f t="shared" ref="I24:I26" si="10">IF(G24="","",IF(OR(G24&gt;$G$27,G24&gt;20),M24,""))</f>
        <v/>
      </c>
      <c r="J24" s="2423" t="str">
        <f t="shared" ref="J24:J26" si="11">IF(G24="","",IF(OR(G24&gt;$G$27,G24&gt;20),N24,""))</f>
        <v/>
      </c>
      <c r="K24" s="90"/>
      <c r="L24" s="2417"/>
      <c r="M24" s="2412"/>
      <c r="N24" s="2408"/>
      <c r="P24" s="90"/>
      <c r="Q24" s="90"/>
      <c r="R24" s="1771" t="str">
        <f>B44</f>
        <v>Parentification</v>
      </c>
      <c r="S24" s="90">
        <f>G48</f>
        <v>12</v>
      </c>
      <c r="T24" s="90"/>
    </row>
    <row r="25" spans="1:20" ht="17" x14ac:dyDescent="0.2">
      <c r="A25" t="s">
        <v>113</v>
      </c>
      <c r="B25" t="str">
        <f>BIBLE!V105</f>
        <v>Dénigrement</v>
      </c>
      <c r="C25" s="55" t="str">
        <f>BIBLE!R105</f>
        <v>Présente la nouvelle famille comme étant la "vraie" famille</v>
      </c>
      <c r="D25" s="6">
        <f>IF(Test_Bible!B191="","",Test_Bible!Q191)</f>
        <v>4</v>
      </c>
      <c r="F25" s="1725"/>
      <c r="G25" s="11">
        <f t="shared" si="8"/>
        <v>4</v>
      </c>
      <c r="H25" s="2423" t="str">
        <f t="shared" si="9"/>
        <v/>
      </c>
      <c r="I25" s="2423" t="str">
        <f t="shared" si="10"/>
        <v/>
      </c>
      <c r="J25" s="2423" t="str">
        <f t="shared" si="11"/>
        <v/>
      </c>
      <c r="K25" s="90"/>
      <c r="L25" s="2417"/>
      <c r="M25" s="2412"/>
      <c r="N25" s="2408"/>
      <c r="P25" s="90"/>
      <c r="Q25" s="90"/>
      <c r="R25" s="1771" t="str">
        <f>B49</f>
        <v>Rôle actif de l'enfant</v>
      </c>
      <c r="S25" s="90">
        <f>G53</f>
        <v>25</v>
      </c>
      <c r="T25" s="90"/>
    </row>
    <row r="26" spans="1:20" ht="34" x14ac:dyDescent="0.2">
      <c r="A26" s="51" t="s">
        <v>114</v>
      </c>
      <c r="B26" s="51" t="str">
        <f>BIBLE!V106</f>
        <v>Dénigrement</v>
      </c>
      <c r="C26" s="1722" t="str">
        <f>BIBLE!R106</f>
        <v>Demande qu'on appelle le nouveau ou nvlle conjoint·e "maman" ou "papa"</v>
      </c>
      <c r="D26" s="1724" t="str">
        <f>IF(Test_Bible!B192="","",Test_Bible!Q192)</f>
        <v/>
      </c>
      <c r="E26" s="51"/>
      <c r="F26" s="1726"/>
      <c r="G26" s="11" t="str">
        <f t="shared" si="8"/>
        <v/>
      </c>
      <c r="H26" s="2423" t="str">
        <f t="shared" si="9"/>
        <v/>
      </c>
      <c r="I26" s="2423" t="str">
        <f t="shared" si="10"/>
        <v/>
      </c>
      <c r="J26" s="2423" t="str">
        <f t="shared" si="11"/>
        <v/>
      </c>
      <c r="K26" s="90"/>
      <c r="L26" s="2417"/>
      <c r="M26" s="2412"/>
      <c r="N26" s="2408" t="s">
        <v>2359</v>
      </c>
      <c r="P26" s="90"/>
      <c r="Q26" s="90"/>
      <c r="R26" s="90"/>
      <c r="S26" s="90"/>
      <c r="T26" s="90"/>
    </row>
    <row r="27" spans="1:20" ht="34" x14ac:dyDescent="0.2">
      <c r="C27" s="55"/>
      <c r="E27" s="90"/>
      <c r="G27" s="2399">
        <f>AVERAGE(G23:G26)</f>
        <v>5</v>
      </c>
      <c r="H27" s="2424" t="str">
        <f>IF(G27&gt;=$G$54,HLOOKUP(1,$L$8:$L$56,20),"")</f>
        <v/>
      </c>
      <c r="I27" s="2424" t="str">
        <f>IF(G27&gt;=$G$54,M27,"")</f>
        <v/>
      </c>
      <c r="J27" s="2424" t="str">
        <f>IF(G27&gt;=$G$54,N27,"")</f>
        <v/>
      </c>
      <c r="K27" s="2385"/>
      <c r="L27" s="2414" t="s">
        <v>2471</v>
      </c>
      <c r="M27" s="2414" t="s">
        <v>2390</v>
      </c>
      <c r="N27" s="2409"/>
      <c r="P27" s="90"/>
      <c r="Q27" s="90"/>
      <c r="R27" s="90"/>
      <c r="S27" s="90"/>
      <c r="T27" s="90"/>
    </row>
    <row r="28" spans="1:20" ht="17" x14ac:dyDescent="0.2">
      <c r="A28" t="s">
        <v>1580</v>
      </c>
      <c r="B28" t="str">
        <f>BIBLE!V61</f>
        <v>Interférence temps et/ou communication</v>
      </c>
      <c r="C28" t="str">
        <f>BIBLE!R61</f>
        <v>Communique fréquemment avec l'enfant lorsqu'il est chez l'autre</v>
      </c>
      <c r="D28" s="6">
        <f>IF(Test_Bible!B198="","",Test_Bible!Q198)</f>
        <v>7</v>
      </c>
      <c r="E28" s="90">
        <f>IF(Test_Bible!B422="","",Test_Bible!Q422)</f>
        <v>21</v>
      </c>
      <c r="F28" s="1728">
        <f>IF(Test_Bible!B135="","",Test_Bible!Q135)</f>
        <v>12</v>
      </c>
      <c r="G28" s="2190">
        <f t="shared" ref="G28:G36" si="12">IF(AND(D28="",E28="",F28=""),"",MAX(D28,E28)+F28)</f>
        <v>33</v>
      </c>
      <c r="H28" s="2423" t="str">
        <f>IF(G28="","",IF(OR(G28&gt;$G$37,G28&gt;20),"à inclure",""))</f>
        <v>à inclure</v>
      </c>
      <c r="I28" s="2423">
        <f>IF(G28="","",IF(OR(G28&gt;$G$37,G28&gt;20),M28,""))</f>
        <v>0</v>
      </c>
      <c r="J28" s="2423">
        <f>IF(G28="","",IF(OR(G28&gt;$G$37,G28&gt;20),N28,""))</f>
        <v>0</v>
      </c>
      <c r="K28" s="90"/>
      <c r="L28" s="2417"/>
      <c r="M28" s="2412"/>
      <c r="N28" s="2408"/>
      <c r="P28" s="90"/>
      <c r="Q28" s="90"/>
      <c r="R28" s="90"/>
      <c r="S28" s="90"/>
      <c r="T28" s="90"/>
    </row>
    <row r="29" spans="1:20" ht="17" x14ac:dyDescent="0.2">
      <c r="A29" t="s">
        <v>76</v>
      </c>
      <c r="B29" t="str">
        <f>BIBLE!V62</f>
        <v>Interférence temps et/ou communication</v>
      </c>
      <c r="C29" t="str">
        <f>BIBLE!R62</f>
        <v>Donne à l'enfant la responsabilité de choisir</v>
      </c>
      <c r="E29" s="5"/>
      <c r="F29" s="1728">
        <f>IF(Test_Bible!B136="","",Test_Bible!Q136)</f>
        <v>6</v>
      </c>
      <c r="G29" s="2190">
        <f t="shared" si="12"/>
        <v>6</v>
      </c>
      <c r="H29" s="2423" t="str">
        <f t="shared" ref="H29:H36" si="13">IF(G29="","",IF(OR(G29&gt;$G$37,G29&gt;20),"à inclure",""))</f>
        <v/>
      </c>
      <c r="I29" s="2423" t="str">
        <f t="shared" ref="I29:I36" si="14">IF(G29="","",IF(OR(G29&gt;$G$37,G29&gt;20),M29,""))</f>
        <v/>
      </c>
      <c r="J29" s="2423" t="str">
        <f t="shared" ref="J29:J36" si="15">IF(G29="","",IF(OR(G29&gt;$G$37,G29&gt;20),N29,""))</f>
        <v/>
      </c>
      <c r="K29" s="90"/>
      <c r="L29" s="2417"/>
      <c r="M29" s="2412"/>
      <c r="N29" s="2408"/>
      <c r="P29" s="90"/>
      <c r="Q29" s="90"/>
      <c r="R29" s="90"/>
      <c r="S29" s="90"/>
      <c r="T29" s="90"/>
    </row>
    <row r="30" spans="1:20" ht="17" x14ac:dyDescent="0.2">
      <c r="A30" t="s">
        <v>1581</v>
      </c>
      <c r="B30" t="str">
        <f>BIBLE!V107</f>
        <v>Interférence temps et/ou communication</v>
      </c>
      <c r="C30" s="55" t="str">
        <f>BIBLE!R107</f>
        <v>Change les horaires sans consulter l'autre parent</v>
      </c>
      <c r="D30" s="6">
        <f>IF(Test_Bible!B193="","",Test_Bible!Q193)</f>
        <v>14</v>
      </c>
      <c r="E30" s="90">
        <f>IF(Test_Bible!B417="","",Test_Bible!Q417)</f>
        <v>8</v>
      </c>
      <c r="F30" s="1725"/>
      <c r="G30" s="11">
        <f t="shared" si="12"/>
        <v>14</v>
      </c>
      <c r="H30" s="2423" t="str">
        <f t="shared" si="13"/>
        <v/>
      </c>
      <c r="I30" s="2423" t="str">
        <f t="shared" si="14"/>
        <v/>
      </c>
      <c r="J30" s="2423" t="str">
        <f t="shared" si="15"/>
        <v/>
      </c>
      <c r="K30" s="90"/>
      <c r="L30" s="2417"/>
      <c r="M30" s="2419"/>
      <c r="N30" s="2408"/>
      <c r="P30" s="90"/>
      <c r="Q30" s="90"/>
      <c r="R30" s="90"/>
      <c r="S30" s="90"/>
      <c r="T30" s="90"/>
    </row>
    <row r="31" spans="1:20" ht="17" x14ac:dyDescent="0.2">
      <c r="A31" t="s">
        <v>116</v>
      </c>
      <c r="B31" t="str">
        <f>BIBLE!V108</f>
        <v>Interférence temps et/ou communication</v>
      </c>
      <c r="C31" s="55" t="str">
        <f>BIBLE!R108</f>
        <v>Ne respecte pas l'heure des changements de garde</v>
      </c>
      <c r="D31" s="6">
        <f>IF(Test_Bible!B194="","",Test_Bible!Q194)</f>
        <v>8</v>
      </c>
      <c r="F31" s="1725"/>
      <c r="G31" s="11">
        <f t="shared" si="12"/>
        <v>8</v>
      </c>
      <c r="H31" s="2423" t="str">
        <f t="shared" si="13"/>
        <v/>
      </c>
      <c r="I31" s="2423" t="str">
        <f t="shared" si="14"/>
        <v/>
      </c>
      <c r="J31" s="2423" t="str">
        <f t="shared" si="15"/>
        <v/>
      </c>
      <c r="K31" s="90"/>
      <c r="L31" s="2417"/>
      <c r="M31" s="2412"/>
      <c r="N31" s="2408"/>
      <c r="P31" s="90"/>
      <c r="Q31" s="90"/>
      <c r="R31" s="90"/>
      <c r="S31" s="90"/>
      <c r="T31" s="90"/>
    </row>
    <row r="32" spans="1:20" ht="17" x14ac:dyDescent="0.2">
      <c r="A32" t="s">
        <v>117</v>
      </c>
      <c r="B32" t="str">
        <f>BIBLE!V109</f>
        <v>Interférence temps et/ou communication</v>
      </c>
      <c r="C32" s="55" t="str">
        <f>BIBLE!R109</f>
        <v>Propose des activités sur le temps de garde de l'autre</v>
      </c>
      <c r="D32" s="6">
        <f>IF(Test_Bible!B195="","",Test_Bible!Q195)</f>
        <v>14</v>
      </c>
      <c r="F32" s="1725"/>
      <c r="G32" s="11">
        <f t="shared" si="12"/>
        <v>14</v>
      </c>
      <c r="H32" s="2423" t="str">
        <f t="shared" si="13"/>
        <v/>
      </c>
      <c r="I32" s="2423" t="str">
        <f t="shared" si="14"/>
        <v/>
      </c>
      <c r="J32" s="2423" t="str">
        <f t="shared" si="15"/>
        <v/>
      </c>
      <c r="K32" s="90"/>
      <c r="L32" s="2417"/>
      <c r="M32" s="2419"/>
      <c r="N32" s="2408"/>
      <c r="P32" s="90"/>
      <c r="Q32" s="90"/>
      <c r="R32" s="90"/>
      <c r="S32" s="90"/>
      <c r="T32" s="90"/>
    </row>
    <row r="33" spans="1:20" ht="340" x14ac:dyDescent="0.2">
      <c r="A33" t="s">
        <v>1582</v>
      </c>
      <c r="B33" t="str">
        <f>BIBLE!V110</f>
        <v>Interférence temps et/ou communication</v>
      </c>
      <c r="C33" s="55" t="str">
        <f>BIBLE!R110</f>
        <v>Organisme des activités irrésistibles lors du temps de garde de l'autre</v>
      </c>
      <c r="D33" s="6">
        <f>IF(Test_Bible!B196="","",Test_Bible!Q196)</f>
        <v>21</v>
      </c>
      <c r="E33" s="90">
        <f>IF(Test_Bible!B418="","",Test_Bible!Q418)</f>
        <v>8</v>
      </c>
      <c r="F33" s="1725"/>
      <c r="G33" s="11">
        <f t="shared" si="12"/>
        <v>21</v>
      </c>
      <c r="H33" s="2423" t="str">
        <f t="shared" si="13"/>
        <v>à inclure</v>
      </c>
      <c r="I33" s="2423">
        <f t="shared" si="14"/>
        <v>0</v>
      </c>
      <c r="J33" s="2464" t="str">
        <f>IF(G33="","",IF(OR(G33&gt;$G$37,G33&gt;20),N33,""))</f>
        <v>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c r="K33" s="90"/>
      <c r="L33" s="2417"/>
      <c r="M33" s="2412"/>
      <c r="N33" s="2242" t="s">
        <v>2477</v>
      </c>
      <c r="P33" s="90"/>
      <c r="Q33" s="90"/>
      <c r="R33" s="90"/>
      <c r="S33" s="90"/>
      <c r="T33" s="90"/>
    </row>
    <row r="34" spans="1:20" ht="17" x14ac:dyDescent="0.2">
      <c r="A34" t="s">
        <v>1583</v>
      </c>
      <c r="B34" t="str">
        <f>BIBLE!V111</f>
        <v>Interférence temps et/ou communication</v>
      </c>
      <c r="C34" s="55" t="str">
        <f>BIBLE!R111</f>
        <v>Se présente à la sortie des classes sur le temps de garde de l'autre</v>
      </c>
      <c r="D34" s="6">
        <f>IF(Test_Bible!B197="","",Test_Bible!Q197)</f>
        <v>1</v>
      </c>
      <c r="E34" s="90">
        <f>IF(Test_Bible!B419="","",Test_Bible!Q419)</f>
        <v>4</v>
      </c>
      <c r="F34" s="1725"/>
      <c r="G34" s="11">
        <f t="shared" si="12"/>
        <v>4</v>
      </c>
      <c r="H34" s="2423" t="str">
        <f t="shared" si="13"/>
        <v/>
      </c>
      <c r="I34" s="2423" t="str">
        <f t="shared" si="14"/>
        <v/>
      </c>
      <c r="J34" s="2423" t="str">
        <f t="shared" si="15"/>
        <v/>
      </c>
      <c r="K34" s="90"/>
      <c r="L34" s="2417"/>
      <c r="M34" s="2412"/>
      <c r="N34" s="2408"/>
      <c r="P34" s="90"/>
      <c r="Q34" s="90"/>
      <c r="R34" s="90"/>
      <c r="S34" s="90"/>
      <c r="T34" s="90"/>
    </row>
    <row r="35" spans="1:20" ht="51" x14ac:dyDescent="0.2">
      <c r="A35" t="s">
        <v>1585</v>
      </c>
      <c r="B35" t="str">
        <f>BIBLE!V114</f>
        <v>Interférence temps et/ou communication</v>
      </c>
      <c r="C35" s="55" t="str">
        <f>BIBLE!R114</f>
        <v>Bloque les communications de l'entourage de l'enfant à l'autre parent</v>
      </c>
      <c r="D35" s="6">
        <f>IF(Test_Bible!B200="","",Test_Bible!Q200)</f>
        <v>12</v>
      </c>
      <c r="E35" s="90">
        <f>IF(Test_Bible!B423="","",Test_Bible!Q423)</f>
        <v>21</v>
      </c>
      <c r="F35" s="1725"/>
      <c r="G35" s="11">
        <f t="shared" si="12"/>
        <v>21</v>
      </c>
      <c r="H35" s="2423" t="str">
        <f t="shared" si="13"/>
        <v>à inclure</v>
      </c>
      <c r="I35" s="2423">
        <f t="shared" si="14"/>
        <v>0</v>
      </c>
      <c r="J35" s="2423" t="str">
        <f t="shared" si="15"/>
        <v>Ce comportement mérite un DRAPEAU ROUGE. Lorem ipsum dolor sit amet. Id voluptatem galisum.</v>
      </c>
      <c r="K35" s="90"/>
      <c r="L35" s="2417"/>
      <c r="M35" s="2412"/>
      <c r="N35" s="2408" t="s">
        <v>2359</v>
      </c>
      <c r="P35" s="90"/>
      <c r="Q35" s="90"/>
      <c r="R35" s="90"/>
      <c r="S35" s="90"/>
      <c r="T35" s="90"/>
    </row>
    <row r="36" spans="1:20" ht="17" x14ac:dyDescent="0.2">
      <c r="A36" s="51" t="s">
        <v>1584</v>
      </c>
      <c r="B36" s="51" t="str">
        <f>BIBLE!V116</f>
        <v>Interférence temps et/ou communication</v>
      </c>
      <c r="C36" s="1722" t="str">
        <f>BIBLE!R116</f>
        <v xml:space="preserve">Contrôle les conversations téléphoniques </v>
      </c>
      <c r="D36" s="1724">
        <f>IF(Test_Bible!B202="","",Test_Bible!Q202)</f>
        <v>14</v>
      </c>
      <c r="E36" s="1723">
        <f>IF(Test_Bible!B420="","",Test_Bible!Q420)</f>
        <v>14</v>
      </c>
      <c r="F36" s="1726"/>
      <c r="G36" s="11">
        <f t="shared" si="12"/>
        <v>14</v>
      </c>
      <c r="H36" s="2423" t="str">
        <f t="shared" si="13"/>
        <v/>
      </c>
      <c r="I36" s="2423" t="str">
        <f t="shared" si="14"/>
        <v/>
      </c>
      <c r="J36" s="2423" t="str">
        <f t="shared" si="15"/>
        <v/>
      </c>
      <c r="K36" s="90"/>
      <c r="L36" s="2417"/>
      <c r="M36" s="2412"/>
      <c r="N36" s="2408"/>
      <c r="P36" s="90"/>
      <c r="Q36" s="90"/>
      <c r="R36" s="90"/>
      <c r="S36" s="90"/>
      <c r="T36" s="90"/>
    </row>
    <row r="37" spans="1:20" ht="44" customHeight="1" x14ac:dyDescent="0.2">
      <c r="C37" s="55"/>
      <c r="E37" s="90"/>
      <c r="G37" s="2399">
        <f>AVERAGE(G28:G36)</f>
        <v>15</v>
      </c>
      <c r="H37" s="2424" t="str">
        <f>IF(G37&gt;=$G$54,HLOOKUP(1,$L$8:$L$56,30),"")</f>
        <v xml:space="preserve">Interférence temps ou communication : lorsqu’un parent s’impose directement ou indirectement durant le temps parental de l’autre parent. </v>
      </c>
      <c r="I37" s="2424" t="str">
        <f>IF(G37&gt;=$G$54,M37,"")</f>
        <v xml:space="preserve">Cette section entière mérite un drapeau jaune soulevant les principes rencontrés dans les comportements de la section. </v>
      </c>
      <c r="J37" s="2424">
        <f>IF(G37&gt;=$G$54,N37,"")</f>
        <v>0</v>
      </c>
      <c r="K37" s="2385"/>
      <c r="L37" s="2414" t="s">
        <v>2354</v>
      </c>
      <c r="M37" s="2414" t="s">
        <v>2390</v>
      </c>
      <c r="N37" s="2409"/>
      <c r="P37" s="90"/>
      <c r="Q37" s="90"/>
      <c r="R37" s="90"/>
      <c r="S37" s="90"/>
      <c r="T37" s="90"/>
    </row>
    <row r="38" spans="1:20" ht="17" x14ac:dyDescent="0.2">
      <c r="A38" t="s">
        <v>1085</v>
      </c>
      <c r="B38" t="str">
        <f>BIBLE!V120</f>
        <v>Interférence lien affectif ou symbolique</v>
      </c>
      <c r="C38" s="55" t="str">
        <f>BIBLE!R120</f>
        <v>Est en compétition avec l'autre parent pour l'amour de l'enfant</v>
      </c>
      <c r="D38" s="6">
        <f>IF(Test_Bible!B206="","",Test_Bible!Q206)</f>
        <v>14</v>
      </c>
      <c r="F38" s="1725"/>
      <c r="G38" s="11">
        <f t="shared" ref="G38:G42" si="16">IF(AND(D38="",E38="",F38=""),"",MAX(D38,E38)+F38)</f>
        <v>14</v>
      </c>
      <c r="H38" s="2423" t="str">
        <f>IF(G38="","",IF(OR(G38&gt;$G$43,G38&gt;20),"à inclure",""))</f>
        <v>à inclure</v>
      </c>
      <c r="I38" s="2423">
        <f>IF(G38="","",IF(OR(G38&gt;$G$43,G38&gt;20),M38,""))</f>
        <v>0</v>
      </c>
      <c r="J38" s="2423">
        <f>IF(G38="","",IF(OR(G38&gt;$G$43,G38&gt;20),N38,""))</f>
        <v>0</v>
      </c>
      <c r="K38" s="90"/>
      <c r="L38" s="2417"/>
      <c r="M38" s="2412"/>
      <c r="N38" s="2408"/>
      <c r="P38" s="90"/>
      <c r="Q38" s="90"/>
      <c r="R38" s="90"/>
      <c r="S38" s="90"/>
      <c r="T38" s="90"/>
    </row>
    <row r="39" spans="1:20" ht="34" x14ac:dyDescent="0.2">
      <c r="A39" t="s">
        <v>134</v>
      </c>
      <c r="B39" t="str">
        <f>BIBLE!V128</f>
        <v>Interférence lien affectif ou symbolique</v>
      </c>
      <c r="C39" s="55" t="str">
        <f>BIBLE!R128</f>
        <v xml:space="preserve">Limite les contacts de l'enfant avec la famille élargie de l'autre parent </v>
      </c>
      <c r="D39" s="6" t="str">
        <f>IF(Test_Bible!B217="","",Test_Bible!Q217)</f>
        <v/>
      </c>
      <c r="F39" s="1725"/>
      <c r="G39" s="11" t="str">
        <f t="shared" si="16"/>
        <v/>
      </c>
      <c r="H39" s="2423" t="str">
        <f t="shared" ref="H39:H42" si="17">IF(G39="","",IF(OR(G39&gt;$G$43,G39&gt;20),"à inclure",""))</f>
        <v/>
      </c>
      <c r="I39" s="2423" t="str">
        <f t="shared" ref="I39:I42" si="18">IF(G39="","",IF(OR(G39&gt;$G$43,G39&gt;20),M39,""))</f>
        <v/>
      </c>
      <c r="J39" s="2423" t="str">
        <f t="shared" ref="J39:J42" si="19">IF(G39="","",IF(OR(G39&gt;$G$43,G39&gt;20),N39,""))</f>
        <v/>
      </c>
      <c r="K39" s="90"/>
      <c r="L39" s="2417"/>
      <c r="M39" s="2412"/>
      <c r="N39" s="2408" t="s">
        <v>2359</v>
      </c>
      <c r="P39" s="90"/>
      <c r="Q39" s="90"/>
      <c r="R39" s="90"/>
      <c r="S39" s="90"/>
      <c r="T39" s="90"/>
    </row>
    <row r="40" spans="1:20" ht="34" x14ac:dyDescent="0.2">
      <c r="A40" t="s">
        <v>136</v>
      </c>
      <c r="B40" t="str">
        <f>BIBLE!V130</f>
        <v>Interférence lien affectif ou symbolique</v>
      </c>
      <c r="C40" s="55" t="str">
        <f>BIBLE!R130</f>
        <v>Jette les objets qui représentent l'autre</v>
      </c>
      <c r="D40" s="6">
        <f>IF(Test_Bible!B219="","",Test_Bible!Q219)</f>
        <v>12</v>
      </c>
      <c r="F40" s="1725"/>
      <c r="G40" s="11">
        <f t="shared" si="16"/>
        <v>12</v>
      </c>
      <c r="H40" s="2423" t="str">
        <f t="shared" si="17"/>
        <v/>
      </c>
      <c r="I40" s="2423" t="str">
        <f t="shared" si="18"/>
        <v/>
      </c>
      <c r="J40" s="2423" t="str">
        <f t="shared" si="19"/>
        <v/>
      </c>
      <c r="K40" s="90"/>
      <c r="L40" s="2417"/>
      <c r="M40" s="2412"/>
      <c r="N40" s="2408" t="s">
        <v>2359</v>
      </c>
      <c r="P40" s="90"/>
      <c r="Q40" s="90"/>
      <c r="R40" s="90"/>
      <c r="S40" s="90"/>
      <c r="T40" s="90"/>
    </row>
    <row r="41" spans="1:20" ht="17" x14ac:dyDescent="0.2">
      <c r="A41" t="s">
        <v>140</v>
      </c>
      <c r="B41" t="str">
        <f>BIBLE!V135</f>
        <v>Interférence lien affectif ou symbolique</v>
      </c>
      <c r="C41" s="55" t="str">
        <f>BIBLE!R135</f>
        <v>Incite l'enfant à choisir un des deux parents</v>
      </c>
      <c r="D41" s="6">
        <f>IF(Test_Bible!B234="","",Test_Bible!Q234)</f>
        <v>21</v>
      </c>
      <c r="F41" s="1725"/>
      <c r="G41" s="11">
        <f t="shared" si="16"/>
        <v>21</v>
      </c>
      <c r="H41" s="2423" t="str">
        <f t="shared" si="17"/>
        <v>à inclure</v>
      </c>
      <c r="I41" s="2423">
        <f t="shared" si="18"/>
        <v>0</v>
      </c>
      <c r="J41" s="2423">
        <f t="shared" si="19"/>
        <v>0</v>
      </c>
      <c r="K41" s="90"/>
      <c r="L41" s="2417"/>
      <c r="M41" s="2412"/>
      <c r="N41" s="2408"/>
      <c r="P41" s="90"/>
      <c r="Q41" s="90"/>
      <c r="R41" s="90"/>
      <c r="S41" s="90"/>
      <c r="T41" s="90"/>
    </row>
    <row r="42" spans="1:20" ht="34" x14ac:dyDescent="0.2">
      <c r="A42" s="51" t="s">
        <v>208</v>
      </c>
      <c r="B42" s="51" t="str">
        <f>BIBLE!V232</f>
        <v>Interférence lien affectif ou symbolique</v>
      </c>
      <c r="C42" s="1722" t="str">
        <f>BIBLE!R232</f>
        <v>Le nouveau ou la nouvelle conjoint·e demande de se faire appeler maman ou papa</v>
      </c>
      <c r="D42" s="1232"/>
      <c r="E42" s="1723">
        <f>IF(Test_Bible!B424="","",Test_Bible!Q424)</f>
        <v>4</v>
      </c>
      <c r="F42" s="1726"/>
      <c r="G42" s="11">
        <f t="shared" si="16"/>
        <v>4</v>
      </c>
      <c r="H42" s="2423" t="str">
        <f t="shared" si="17"/>
        <v/>
      </c>
      <c r="I42" s="2423" t="str">
        <f t="shared" si="18"/>
        <v/>
      </c>
      <c r="J42" s="2423" t="str">
        <f t="shared" si="19"/>
        <v/>
      </c>
      <c r="K42" s="90"/>
      <c r="L42" s="2417"/>
      <c r="M42" s="2412"/>
      <c r="N42" s="2408" t="s">
        <v>2359</v>
      </c>
      <c r="P42" s="90"/>
      <c r="Q42" s="90"/>
      <c r="R42" s="90"/>
      <c r="S42" s="90"/>
      <c r="T42" s="90"/>
    </row>
    <row r="43" spans="1:20" ht="51" x14ac:dyDescent="0.2">
      <c r="C43" s="55"/>
      <c r="E43" s="90"/>
      <c r="G43" s="2399">
        <f>AVERAGE(G38:G42)</f>
        <v>12.75</v>
      </c>
      <c r="H43" s="2424" t="str">
        <f>IF(G43&gt;=$G$54,HLOOKUP(1,$L$8:$L$56,36),"")</f>
        <v/>
      </c>
      <c r="I43" s="2424" t="str">
        <f>IF(G43&gt;=$G$54,M43,"")</f>
        <v/>
      </c>
      <c r="J43" s="2424" t="str">
        <f>IF(G43&gt;=$G$54,N43,"")</f>
        <v/>
      </c>
      <c r="K43" s="2385"/>
      <c r="L43" s="2414" t="s">
        <v>2357</v>
      </c>
      <c r="M43" s="2414" t="s">
        <v>2390</v>
      </c>
      <c r="N43" s="2409"/>
      <c r="P43" s="90"/>
      <c r="Q43" s="90"/>
      <c r="R43" s="90"/>
      <c r="S43" s="90"/>
      <c r="T43" s="90"/>
    </row>
    <row r="44" spans="1:20" ht="17" x14ac:dyDescent="0.2">
      <c r="A44" t="s">
        <v>595</v>
      </c>
      <c r="B44" t="str">
        <f>BIBLE!V70</f>
        <v>Parentification</v>
      </c>
      <c r="C44" t="str">
        <f>BIBLE!R70</f>
        <v>Informe l'enfant des enjeux l'opposant à l'autre parent</v>
      </c>
      <c r="E44" s="5"/>
      <c r="F44" s="1728">
        <f>IF(Test_Bible!B151="","",Test_Bible!Q151)</f>
        <v>12</v>
      </c>
      <c r="G44" s="2190">
        <f t="shared" ref="G44:G47" si="20">IF(AND(D44="",E44="",F44=""),"",MAX(D44,E44)+F44)</f>
        <v>12</v>
      </c>
      <c r="H44" s="2423" t="str">
        <f>IF(G44="","",IF(OR(G44&gt;$G$48,G44&gt;20),"à inclure",""))</f>
        <v/>
      </c>
      <c r="I44" s="2423" t="str">
        <f>IF(G44="","",IF(OR(G44&gt;$G$48,G44&gt;20),M44,""))</f>
        <v/>
      </c>
      <c r="J44" s="2423" t="str">
        <f>IF(G44="","",IF(OR(G44&gt;$G$48,G44&gt;20),N44,""))</f>
        <v/>
      </c>
      <c r="K44" s="90"/>
      <c r="L44" s="2417"/>
      <c r="M44" s="2412"/>
      <c r="N44" s="2408"/>
      <c r="P44" s="90"/>
      <c r="Q44" s="90"/>
      <c r="R44" s="90"/>
      <c r="S44" s="90"/>
      <c r="T44" s="90"/>
    </row>
    <row r="45" spans="1:20" ht="17" x14ac:dyDescent="0.2">
      <c r="A45" t="s">
        <v>1586</v>
      </c>
      <c r="B45" t="str">
        <f>BIBLE!V73</f>
        <v>Parentification</v>
      </c>
      <c r="C45" s="55" t="str">
        <f>BIBLE!R73</f>
        <v>Confie à l'enfant ses peines</v>
      </c>
      <c r="D45" s="6">
        <f>IF(Test_Bible!B244="","",Test_Bible!Q244)</f>
        <v>8</v>
      </c>
      <c r="E45" s="5"/>
      <c r="F45" s="1728">
        <f>IF(Test_Bible!B155="","",Test_Bible!Q155)</f>
        <v>8</v>
      </c>
      <c r="G45" s="2190">
        <f t="shared" si="20"/>
        <v>16</v>
      </c>
      <c r="H45" s="2423" t="str">
        <f t="shared" ref="H45:H47" si="21">IF(G45="","",IF(OR(G45&gt;$G$48,G45&gt;20),"à inclure",""))</f>
        <v>à inclure</v>
      </c>
      <c r="I45" s="2423">
        <f t="shared" ref="I45:I47" si="22">IF(G45="","",IF(OR(G45&gt;$G$48,G45&gt;20),M45,""))</f>
        <v>0</v>
      </c>
      <c r="J45" s="2423">
        <f t="shared" ref="J45:J47" si="23">IF(G45="","",IF(OR(G45&gt;$G$48,G45&gt;20),N45,""))</f>
        <v>0</v>
      </c>
      <c r="K45" s="90"/>
      <c r="L45" s="2417"/>
      <c r="M45" s="2412"/>
      <c r="N45" s="2408"/>
      <c r="P45" s="90"/>
      <c r="Q45" s="90"/>
      <c r="R45" s="90"/>
      <c r="S45" s="90"/>
      <c r="T45" s="90"/>
    </row>
    <row r="46" spans="1:20" ht="34" x14ac:dyDescent="0.2">
      <c r="A46" t="s">
        <v>145</v>
      </c>
      <c r="B46" t="str">
        <f>BIBLE!V141</f>
        <v>Parentification</v>
      </c>
      <c r="C46" s="55" t="str">
        <f>BIBLE!R141</f>
        <v>Confie à l'enfant des informations délicates sur l'autre</v>
      </c>
      <c r="D46" s="6">
        <f>IF(Test_Bible!B245="","",Test_Bible!Q245)</f>
        <v>8</v>
      </c>
      <c r="F46" s="1725"/>
      <c r="G46" s="11">
        <f t="shared" si="20"/>
        <v>8</v>
      </c>
      <c r="H46" s="2423" t="str">
        <f t="shared" si="21"/>
        <v/>
      </c>
      <c r="I46" s="2423" t="str">
        <f t="shared" si="22"/>
        <v/>
      </c>
      <c r="J46" s="2423" t="str">
        <f t="shared" si="23"/>
        <v/>
      </c>
      <c r="K46" s="90"/>
      <c r="L46" s="2417"/>
      <c r="M46" s="2412"/>
      <c r="N46" s="2412" t="s">
        <v>2358</v>
      </c>
      <c r="P46" s="90"/>
      <c r="Q46" s="90"/>
      <c r="R46" s="90"/>
      <c r="S46" s="90"/>
      <c r="T46" s="90"/>
    </row>
    <row r="47" spans="1:20" ht="17" x14ac:dyDescent="0.2">
      <c r="A47" s="51" t="s">
        <v>146</v>
      </c>
      <c r="B47" s="51" t="str">
        <f>BIBLE!V142</f>
        <v>Parentification</v>
      </c>
      <c r="C47" s="1722" t="str">
        <f>BIBLE!R142</f>
        <v>Fait lire à l'enfant des communications de l'autre parent</v>
      </c>
      <c r="D47" s="6">
        <f>IF(Test_Bible!B246="","",Test_Bible!Q246)</f>
        <v>12</v>
      </c>
      <c r="E47" s="51"/>
      <c r="F47" s="1726"/>
      <c r="G47" s="11">
        <f t="shared" si="20"/>
        <v>12</v>
      </c>
      <c r="H47" s="2423" t="str">
        <f t="shared" si="21"/>
        <v/>
      </c>
      <c r="I47" s="2423" t="str">
        <f t="shared" si="22"/>
        <v/>
      </c>
      <c r="J47" s="2423" t="str">
        <f t="shared" si="23"/>
        <v/>
      </c>
      <c r="K47" s="90"/>
      <c r="L47" s="2417"/>
      <c r="M47" s="2412"/>
      <c r="N47" s="2410"/>
      <c r="P47" s="90"/>
      <c r="Q47" s="90"/>
      <c r="R47" s="90"/>
      <c r="S47" s="90"/>
      <c r="T47" s="90"/>
    </row>
    <row r="48" spans="1:20" ht="44" customHeight="1" x14ac:dyDescent="0.2">
      <c r="C48" s="55"/>
      <c r="D48" s="6"/>
      <c r="G48" s="2399">
        <f>AVERAGE(G44:G47)</f>
        <v>12</v>
      </c>
      <c r="H48" s="2424" t="str">
        <f>IF(G48&gt;=$G$54,HLOOKUP(1,$L$8:$L$56,41),"")</f>
        <v/>
      </c>
      <c r="I48" s="2424" t="str">
        <f>IF(G48&gt;=$G$54,M48,"")</f>
        <v/>
      </c>
      <c r="J48" s="2424" t="str">
        <f>IF(G48&gt;=$G$54,N48,"")</f>
        <v/>
      </c>
      <c r="K48" s="2385"/>
      <c r="L48" s="2418" t="s">
        <v>2356</v>
      </c>
      <c r="M48" s="2414" t="s">
        <v>2390</v>
      </c>
      <c r="N48" s="2409"/>
      <c r="P48" s="90"/>
      <c r="Q48" s="90"/>
      <c r="R48" s="90"/>
      <c r="S48" s="90"/>
      <c r="T48" s="90"/>
    </row>
    <row r="49" spans="1:20" ht="51" x14ac:dyDescent="0.2">
      <c r="A49" t="s">
        <v>94</v>
      </c>
      <c r="B49" t="str">
        <f>BIBLE!V84</f>
        <v>Rôle actif de l'enfant</v>
      </c>
      <c r="C49" s="55" t="str">
        <f>BIBLE!R84</f>
        <v>Demande à l'enfant de garder des secrets</v>
      </c>
      <c r="D49" s="6">
        <f>IF(Test_Bible!B170="","",Test_Bible!Q170)</f>
        <v>21</v>
      </c>
      <c r="F49" s="1725"/>
      <c r="G49" s="2190">
        <f t="shared" ref="G49:G52" si="24">IF(AND(D49="",E49="",F49=""),"",MAX(D49,E49)+F49)</f>
        <v>21</v>
      </c>
      <c r="H49" s="2423" t="str">
        <f>IF(G49="","",IF(OR(G49&gt;$G$53,G49&gt;20),"à inclure",""))</f>
        <v>à inclure</v>
      </c>
      <c r="I49" s="2423">
        <f>IF(G49="","",IF(OR(G49&gt;$G$53,G49&gt;20),M49,""))</f>
        <v>0</v>
      </c>
      <c r="J49" s="2423" t="str">
        <f>IF(G49="","",IF(OR(G49&gt;$G$53,G49&gt;20),N49,""))</f>
        <v>Ce comportement mérite un DRAPEAU ROUGE. Lorem ipsum dolor sit amet. Id voluptatem galisum.</v>
      </c>
      <c r="K49" s="90"/>
      <c r="L49" s="2417"/>
      <c r="M49" s="2412"/>
      <c r="N49" s="2242" t="s">
        <v>2359</v>
      </c>
      <c r="P49" s="90"/>
      <c r="S49" s="90"/>
      <c r="T49" s="90"/>
    </row>
    <row r="50" spans="1:20" ht="34" x14ac:dyDescent="0.2">
      <c r="A50" t="s">
        <v>147</v>
      </c>
      <c r="B50" t="str">
        <f>BIBLE!V143</f>
        <v>Rôle actif de l'enfant</v>
      </c>
      <c r="C50" s="55" t="str">
        <f>BIBLE!R143</f>
        <v>Encourage un discours haineux envers le ou la nouvelle conjointe de l'autre parent</v>
      </c>
      <c r="D50" s="6" t="str">
        <f>IF(Test_Bible!B247="","",Test_Bible!Q247)</f>
        <v/>
      </c>
      <c r="F50" s="1725"/>
      <c r="G50" s="11" t="str">
        <f t="shared" si="24"/>
        <v/>
      </c>
      <c r="H50" s="2423" t="str">
        <f t="shared" ref="H50:H52" si="25">IF(G50="","",IF(OR(G50&gt;$G$53,G50&gt;20),"à inclure",""))</f>
        <v/>
      </c>
      <c r="I50" s="2423" t="str">
        <f t="shared" ref="I50:I51" si="26">IF(G50="","",IF(OR(G50&gt;$G$53,G50&gt;20),M50,""))</f>
        <v/>
      </c>
      <c r="J50" s="2423" t="str">
        <f t="shared" ref="J50:J51" si="27">IF(G50="","",IF(OR(G50&gt;$G$53,G50&gt;20),N50,""))</f>
        <v/>
      </c>
      <c r="K50" s="90"/>
      <c r="L50" s="2417"/>
      <c r="M50" s="2412"/>
      <c r="N50" s="2242" t="s">
        <v>2359</v>
      </c>
      <c r="P50" s="90"/>
      <c r="Q50" s="90"/>
      <c r="R50" s="90"/>
      <c r="S50" s="90"/>
      <c r="T50" s="90"/>
    </row>
    <row r="51" spans="1:20" ht="17" x14ac:dyDescent="0.2">
      <c r="A51" t="s">
        <v>2098</v>
      </c>
      <c r="B51" t="str">
        <f>BIBLE!V144</f>
        <v>Rôle actif de l'enfant</v>
      </c>
      <c r="C51" s="55" t="str">
        <f>BIBLE!R144</f>
        <v>Demande à l'enfant de faire les messages</v>
      </c>
      <c r="D51" s="6">
        <f>IF(Test_Bible!B248="","",Test_Bible!Q248)</f>
        <v>8</v>
      </c>
      <c r="F51" s="1728">
        <f>IF(Test_Bible!B149="","",Test_Bible!Q149)</f>
        <v>21</v>
      </c>
      <c r="G51" s="11">
        <f t="shared" si="24"/>
        <v>29</v>
      </c>
      <c r="H51" s="2423" t="str">
        <f t="shared" si="25"/>
        <v>à inclure</v>
      </c>
      <c r="I51" s="2423">
        <f t="shared" si="26"/>
        <v>0</v>
      </c>
      <c r="J51" s="2423">
        <f t="shared" si="27"/>
        <v>0</v>
      </c>
      <c r="K51" s="90"/>
      <c r="L51" s="2417"/>
      <c r="M51" s="2412"/>
      <c r="N51" s="2408"/>
      <c r="P51" s="90"/>
      <c r="Q51" s="90"/>
      <c r="R51" s="90"/>
      <c r="S51" s="90"/>
      <c r="T51" s="90"/>
    </row>
    <row r="52" spans="1:20" ht="17" x14ac:dyDescent="0.2">
      <c r="A52" s="51" t="s">
        <v>150</v>
      </c>
      <c r="B52" s="51" t="str">
        <f>BIBLE!V145</f>
        <v>Rôle actif de l'enfant</v>
      </c>
      <c r="C52" s="1722" t="str">
        <f>BIBLE!R145</f>
        <v>Laisse l'enfant le droit de choisir</v>
      </c>
      <c r="D52" s="1724" t="str">
        <f>IF(Test_Bible!B249="","",Test_Bible!Q249)</f>
        <v/>
      </c>
      <c r="E52" s="51"/>
      <c r="F52" s="1726"/>
      <c r="G52" s="11" t="str">
        <f t="shared" si="24"/>
        <v/>
      </c>
      <c r="H52" s="2423" t="str">
        <f t="shared" si="25"/>
        <v/>
      </c>
      <c r="I52" s="2423" t="str">
        <f t="shared" ref="I52" si="28">IF(G52="","",IF(OR(G52&gt;$G$53,G52&gt;20),M52,""))</f>
        <v/>
      </c>
      <c r="J52" s="2423" t="str">
        <f t="shared" ref="J52" si="29">IF(G52="","",IF(OR(G52&gt;$G$53,G52&gt;20),N52,""))</f>
        <v/>
      </c>
      <c r="K52" s="90"/>
      <c r="L52" s="2417"/>
      <c r="M52" s="2412"/>
      <c r="N52" s="2410"/>
      <c r="P52" s="90"/>
      <c r="Q52" s="90"/>
      <c r="R52" s="90"/>
      <c r="S52" s="90"/>
      <c r="T52" s="90"/>
    </row>
    <row r="53" spans="1:20" ht="54" customHeight="1" x14ac:dyDescent="0.2">
      <c r="C53" s="55"/>
      <c r="D53" s="6"/>
      <c r="G53" s="2399">
        <f>AVERAGE(G49:G52)</f>
        <v>25</v>
      </c>
      <c r="H53" s="2424" t="str">
        <f>IF(G53&gt;=$G$54,HLOOKUP(1,$L$8:$L$56,46),"")</f>
        <v xml:space="preserve">Rôle actif de l’enfant : Lorsque l’enfant est appelé à jouer un rôle dans le conflit parental. </v>
      </c>
      <c r="I53" s="2424" t="str">
        <f>IF(G53&gt;=$G$54,M53,"")</f>
        <v xml:space="preserve">Cette section entière mérite un drapeau jaune soulevant les principes rencontrés dans les comportements de la section. </v>
      </c>
      <c r="J53" s="2424">
        <f>IF(G53&gt;=$G$54,N53,"")</f>
        <v>0</v>
      </c>
      <c r="K53" s="2385"/>
      <c r="L53" s="2414" t="s">
        <v>2355</v>
      </c>
      <c r="M53" s="2414" t="s">
        <v>2390</v>
      </c>
      <c r="N53" s="2409"/>
      <c r="P53" s="90"/>
      <c r="Q53" s="90"/>
      <c r="R53" s="90"/>
      <c r="S53" s="90"/>
      <c r="T53" s="90"/>
    </row>
    <row r="54" spans="1:20" ht="32" customHeight="1" x14ac:dyDescent="0.2">
      <c r="D54" s="6">
        <f>SUM(D9:D52)</f>
        <v>318</v>
      </c>
      <c r="E54" s="6">
        <f>SUM(E9:E52)</f>
        <v>104</v>
      </c>
      <c r="F54" s="6">
        <f>SUM(F9:F52)</f>
        <v>66</v>
      </c>
      <c r="G54" s="6">
        <f>(AVERAGE(G9:G14)+AVERAGE(G16:G21)+AVERAGE(G23:G26)+AVERAGE(G28:G36)+AVERAGE(G38:G42)+AVERAGE(G44:G47)+AVERAGE(G49:G52))/7</f>
        <v>13.078571428571427</v>
      </c>
      <c r="H54" s="67"/>
      <c r="I54" s="67"/>
      <c r="J54" s="67"/>
      <c r="K54" s="6"/>
      <c r="M54" s="54"/>
      <c r="N54" s="2411"/>
      <c r="O54" s="5"/>
      <c r="P54" s="90"/>
      <c r="Q54" s="90"/>
      <c r="R54" s="90"/>
      <c r="S54" s="90"/>
      <c r="T54" s="90"/>
    </row>
    <row r="55" spans="1:20" ht="76" customHeight="1" x14ac:dyDescent="0.2">
      <c r="C55" s="55"/>
      <c r="H55" s="1825">
        <f>L55</f>
        <v>0</v>
      </c>
      <c r="K55" s="7" t="s">
        <v>2197</v>
      </c>
      <c r="L55" s="2138"/>
    </row>
    <row r="56" spans="1:20" ht="81" customHeight="1" x14ac:dyDescent="0.2">
      <c r="A56" s="291"/>
      <c r="C56" s="55"/>
      <c r="H56" s="706"/>
      <c r="K56" s="5" t="s">
        <v>2019</v>
      </c>
      <c r="L56" s="2407" t="s">
        <v>2388</v>
      </c>
    </row>
    <row r="57" spans="1:20" ht="57" customHeight="1" x14ac:dyDescent="0.2">
      <c r="A57" s="1771"/>
      <c r="C57" s="55"/>
    </row>
    <row r="58" spans="1:20" x14ac:dyDescent="0.2">
      <c r="A58" s="291"/>
      <c r="C58" s="55"/>
    </row>
    <row r="59" spans="1:20" x14ac:dyDescent="0.2">
      <c r="A59" s="291"/>
    </row>
    <row r="60" spans="1:20" x14ac:dyDescent="0.2">
      <c r="A60" s="1771"/>
      <c r="O60" s="9"/>
    </row>
    <row r="61" spans="1:20" x14ac:dyDescent="0.2">
      <c r="A61" s="1771"/>
      <c r="O61" s="2284"/>
    </row>
    <row r="62" spans="1:20" x14ac:dyDescent="0.2">
      <c r="A62" s="291"/>
    </row>
    <row r="63" spans="1:20" x14ac:dyDescent="0.2">
      <c r="A63" s="291"/>
    </row>
    <row r="64" spans="1:20" x14ac:dyDescent="0.2">
      <c r="A64" s="291"/>
      <c r="O64" s="55"/>
    </row>
    <row r="65" spans="1:15" x14ac:dyDescent="0.2">
      <c r="A65" s="291"/>
      <c r="O65" s="55"/>
    </row>
    <row r="66" spans="1:15" x14ac:dyDescent="0.2">
      <c r="A66" s="291"/>
    </row>
    <row r="67" spans="1:15" x14ac:dyDescent="0.2">
      <c r="A67" s="1771"/>
    </row>
    <row r="68" spans="1:15" x14ac:dyDescent="0.2">
      <c r="A68" s="1771"/>
    </row>
    <row r="69" spans="1:15" x14ac:dyDescent="0.2">
      <c r="A69" s="1771"/>
    </row>
    <row r="70" spans="1:15" x14ac:dyDescent="0.2">
      <c r="A70" s="291"/>
    </row>
    <row r="71" spans="1:15" x14ac:dyDescent="0.2">
      <c r="A71" s="291"/>
      <c r="O71" s="55"/>
    </row>
    <row r="72" spans="1:15" x14ac:dyDescent="0.2">
      <c r="A72" s="291"/>
    </row>
    <row r="73" spans="1:15" x14ac:dyDescent="0.2">
      <c r="A73" s="291"/>
    </row>
    <row r="74" spans="1:15" x14ac:dyDescent="0.2">
      <c r="A74" s="291"/>
    </row>
    <row r="75" spans="1:15" x14ac:dyDescent="0.2">
      <c r="A75" s="291"/>
    </row>
    <row r="76" spans="1:15" x14ac:dyDescent="0.2">
      <c r="A76" s="291"/>
    </row>
    <row r="77" spans="1:15" x14ac:dyDescent="0.2">
      <c r="A77" s="291"/>
    </row>
    <row r="78" spans="1:15" x14ac:dyDescent="0.2">
      <c r="A78" s="291"/>
    </row>
    <row r="79" spans="1:15" x14ac:dyDescent="0.2">
      <c r="A79" s="1771"/>
    </row>
    <row r="80" spans="1:15" x14ac:dyDescent="0.2">
      <c r="A80" s="1771"/>
    </row>
    <row r="81" spans="1:1" x14ac:dyDescent="0.2">
      <c r="A81" s="291"/>
    </row>
    <row r="82" spans="1:1" x14ac:dyDescent="0.2">
      <c r="A82" s="291"/>
    </row>
    <row r="83" spans="1:1" x14ac:dyDescent="0.2">
      <c r="A83" s="291"/>
    </row>
    <row r="84" spans="1:1" x14ac:dyDescent="0.2">
      <c r="A84" s="291"/>
    </row>
    <row r="85" spans="1:1" x14ac:dyDescent="0.2">
      <c r="A85" s="291"/>
    </row>
    <row r="86" spans="1:1" x14ac:dyDescent="0.2">
      <c r="A86" s="291"/>
    </row>
    <row r="87" spans="1:1" x14ac:dyDescent="0.2">
      <c r="A87" s="291"/>
    </row>
    <row r="88" spans="1:1" x14ac:dyDescent="0.2">
      <c r="A88" s="291"/>
    </row>
    <row r="89" spans="1:1" x14ac:dyDescent="0.2">
      <c r="A89" s="291"/>
    </row>
    <row r="90" spans="1:1" x14ac:dyDescent="0.2">
      <c r="A90" s="291"/>
    </row>
    <row r="91" spans="1:1" x14ac:dyDescent="0.2">
      <c r="A91" s="291"/>
    </row>
    <row r="92" spans="1:1" x14ac:dyDescent="0.2">
      <c r="A92" s="1771"/>
    </row>
    <row r="93" spans="1:1" x14ac:dyDescent="0.2">
      <c r="A93" s="1771"/>
    </row>
    <row r="94" spans="1:1" x14ac:dyDescent="0.2">
      <c r="A94" s="1771"/>
    </row>
    <row r="95" spans="1:1" x14ac:dyDescent="0.2">
      <c r="A95" s="1771"/>
    </row>
    <row r="96" spans="1:1" x14ac:dyDescent="0.2">
      <c r="A96" s="291"/>
    </row>
    <row r="97" spans="1:1" x14ac:dyDescent="0.2">
      <c r="A97" s="291"/>
    </row>
    <row r="98" spans="1:1" x14ac:dyDescent="0.2">
      <c r="A98" s="291"/>
    </row>
    <row r="99" spans="1:1" x14ac:dyDescent="0.2">
      <c r="A99" s="291"/>
    </row>
    <row r="100" spans="1:1" x14ac:dyDescent="0.2">
      <c r="A100" s="291"/>
    </row>
    <row r="101" spans="1:1" x14ac:dyDescent="0.2">
      <c r="A101" s="291"/>
    </row>
    <row r="102" spans="1:1" x14ac:dyDescent="0.2">
      <c r="A102" s="291"/>
    </row>
    <row r="103" spans="1:1" x14ac:dyDescent="0.2">
      <c r="A103" s="291"/>
    </row>
    <row r="104" spans="1:1" x14ac:dyDescent="0.2">
      <c r="A104" s="291"/>
    </row>
    <row r="105" spans="1:1" x14ac:dyDescent="0.2">
      <c r="A105" s="291"/>
    </row>
    <row r="106" spans="1:1" x14ac:dyDescent="0.2">
      <c r="A106" s="291"/>
    </row>
    <row r="107" spans="1:1" x14ac:dyDescent="0.2">
      <c r="A107" s="291"/>
    </row>
    <row r="108" spans="1:1" x14ac:dyDescent="0.2">
      <c r="A108" s="291"/>
    </row>
    <row r="109" spans="1:1" x14ac:dyDescent="0.2">
      <c r="A109" s="291"/>
    </row>
    <row r="110" spans="1:1" x14ac:dyDescent="0.2">
      <c r="A110" s="1771"/>
    </row>
    <row r="111" spans="1:1" x14ac:dyDescent="0.2">
      <c r="A111" s="1771"/>
    </row>
    <row r="112" spans="1:1" x14ac:dyDescent="0.2">
      <c r="A112" s="1771"/>
    </row>
    <row r="113" spans="1:1" x14ac:dyDescent="0.2">
      <c r="A113" s="1771"/>
    </row>
    <row r="114" spans="1:1" x14ac:dyDescent="0.2">
      <c r="A114" s="1771"/>
    </row>
    <row r="115" spans="1:1" x14ac:dyDescent="0.2">
      <c r="A115" s="291"/>
    </row>
    <row r="116" spans="1:1" x14ac:dyDescent="0.2">
      <c r="A116" s="291"/>
    </row>
    <row r="117" spans="1:1" x14ac:dyDescent="0.2">
      <c r="A117" s="291"/>
    </row>
    <row r="118" spans="1:1" x14ac:dyDescent="0.2">
      <c r="A118" s="291"/>
    </row>
    <row r="119" spans="1:1" x14ac:dyDescent="0.2">
      <c r="A119" s="291"/>
    </row>
    <row r="120" spans="1:1" x14ac:dyDescent="0.2">
      <c r="A120" s="291"/>
    </row>
    <row r="121" spans="1:1" x14ac:dyDescent="0.2">
      <c r="A121" s="291"/>
    </row>
  </sheetData>
  <mergeCells count="4">
    <mergeCell ref="N2:P2"/>
    <mergeCell ref="M5:N5"/>
    <mergeCell ref="K5:L5"/>
    <mergeCell ref="H5:J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A1:AP54"/>
  <sheetViews>
    <sheetView topLeftCell="T14" zoomScale="80" zoomScaleNormal="80" workbookViewId="0">
      <selection activeCell="V16" sqref="V16"/>
    </sheetView>
  </sheetViews>
  <sheetFormatPr baseColWidth="10" defaultRowHeight="16" x14ac:dyDescent="0.2"/>
  <cols>
    <col min="1" max="1" width="9.6640625" customWidth="1"/>
    <col min="3" max="3" width="58.33203125" customWidth="1"/>
    <col min="4" max="4" width="24.5" customWidth="1"/>
    <col min="5" max="5" width="22.5" customWidth="1"/>
    <col min="6" max="6" width="12" customWidth="1"/>
    <col min="7" max="7" width="8.83203125" style="5" customWidth="1"/>
    <col min="8" max="8" width="8.33203125" style="5" customWidth="1"/>
    <col min="9" max="9" width="7.1640625" style="5" customWidth="1"/>
    <col min="10" max="10" width="10.5" style="5" customWidth="1"/>
    <col min="11" max="11" width="9" style="5" customWidth="1"/>
    <col min="12" max="12" width="9.33203125" style="5" customWidth="1"/>
    <col min="13" max="13" width="10.6640625" style="5" customWidth="1"/>
    <col min="14" max="14" width="7.1640625" customWidth="1"/>
    <col min="16" max="16" width="31" customWidth="1"/>
    <col min="17" max="17" width="45" customWidth="1"/>
    <col min="18" max="18" width="46.33203125" customWidth="1"/>
    <col min="19" max="22" width="64.33203125" customWidth="1"/>
    <col min="23" max="23" width="44.33203125" customWidth="1"/>
    <col min="24" max="31" width="6" customWidth="1"/>
    <col min="32" max="32" width="2.33203125" customWidth="1"/>
    <col min="35" max="35" width="24.6640625" customWidth="1"/>
  </cols>
  <sheetData>
    <row r="1" spans="1:35" ht="31" customHeight="1" x14ac:dyDescent="0.25">
      <c r="B1" s="410" t="s">
        <v>2003</v>
      </c>
      <c r="D1" s="2177" t="s">
        <v>2376</v>
      </c>
      <c r="E1" s="1460"/>
      <c r="F1" s="1460"/>
      <c r="G1" s="1461"/>
      <c r="H1" s="1461"/>
      <c r="I1" s="1461"/>
      <c r="J1" s="1461"/>
      <c r="K1" s="1461"/>
      <c r="L1" s="1461"/>
      <c r="M1" s="1461"/>
      <c r="N1" s="1460"/>
      <c r="O1" s="1460"/>
    </row>
    <row r="2" spans="1:35" ht="31" customHeight="1" x14ac:dyDescent="0.25">
      <c r="B2" s="2374" t="s">
        <v>2196</v>
      </c>
      <c r="D2" s="80"/>
    </row>
    <row r="3" spans="1:35" ht="31" customHeight="1" x14ac:dyDescent="0.25">
      <c r="B3" s="410"/>
      <c r="D3" s="80"/>
    </row>
    <row r="4" spans="1:35" ht="31" customHeight="1" x14ac:dyDescent="0.25">
      <c r="B4" s="410"/>
      <c r="D4" s="80"/>
    </row>
    <row r="5" spans="1:35" ht="31" customHeight="1" x14ac:dyDescent="0.25">
      <c r="B5" s="410"/>
      <c r="D5" s="80"/>
    </row>
    <row r="6" spans="1:35" ht="31" customHeight="1" x14ac:dyDescent="0.25">
      <c r="B6" s="410" t="s">
        <v>2004</v>
      </c>
      <c r="D6" s="2177" t="s">
        <v>2377</v>
      </c>
      <c r="E6" s="1460"/>
      <c r="F6" s="1460"/>
      <c r="G6" s="1461"/>
      <c r="H6" s="1461"/>
      <c r="I6" s="1461"/>
      <c r="J6" s="1461"/>
      <c r="K6" s="1461"/>
      <c r="L6" s="1461"/>
      <c r="M6" s="1461"/>
      <c r="N6" s="1460"/>
      <c r="O6" s="1460"/>
    </row>
    <row r="7" spans="1:35" ht="31" customHeight="1" x14ac:dyDescent="0.2"/>
    <row r="8" spans="1:35" ht="31" customHeight="1" x14ac:dyDescent="0.25">
      <c r="B8" s="34" t="s">
        <v>1025</v>
      </c>
      <c r="P8" s="2556" t="s">
        <v>2215</v>
      </c>
      <c r="Q8" s="2556"/>
      <c r="R8" s="2557"/>
      <c r="S8" s="57" t="s">
        <v>2021</v>
      </c>
      <c r="U8" s="2564" t="s">
        <v>2200</v>
      </c>
      <c r="V8" s="2564"/>
    </row>
    <row r="9" spans="1:35" ht="62" customHeight="1" thickBot="1" x14ac:dyDescent="0.25">
      <c r="H9" s="16"/>
      <c r="I9" s="2472" t="s">
        <v>1033</v>
      </c>
      <c r="J9" s="2472"/>
      <c r="K9" s="2472"/>
      <c r="L9" s="2472"/>
      <c r="M9" s="2472"/>
      <c r="P9" s="2106" t="s">
        <v>2195</v>
      </c>
      <c r="Q9" s="2072" t="s">
        <v>2183</v>
      </c>
      <c r="R9" s="2072" t="s">
        <v>2184</v>
      </c>
      <c r="S9" s="2574" t="s">
        <v>2202</v>
      </c>
      <c r="T9" s="2575"/>
      <c r="U9" s="2072" t="s">
        <v>2001</v>
      </c>
      <c r="V9" s="1323" t="s">
        <v>1996</v>
      </c>
      <c r="W9" s="2140"/>
      <c r="X9" s="2571" t="s">
        <v>1828</v>
      </c>
      <c r="Y9" s="2571"/>
      <c r="Z9" s="2571"/>
      <c r="AA9" s="2571"/>
      <c r="AB9" s="2571"/>
      <c r="AC9" s="2571"/>
      <c r="AD9" s="2571"/>
      <c r="AE9" s="2571"/>
    </row>
    <row r="10" spans="1:35" ht="62" customHeight="1" x14ac:dyDescent="0.2">
      <c r="D10" s="1" t="s">
        <v>1857</v>
      </c>
      <c r="E10" s="25" t="s">
        <v>1864</v>
      </c>
      <c r="F10" s="2086" t="s">
        <v>1031</v>
      </c>
      <c r="G10" s="2087" t="s">
        <v>226</v>
      </c>
      <c r="H10" s="1309" t="s">
        <v>1052</v>
      </c>
      <c r="I10" s="1264" t="s">
        <v>1030</v>
      </c>
      <c r="J10" s="1264" t="s">
        <v>358</v>
      </c>
      <c r="K10" s="1264" t="s">
        <v>1028</v>
      </c>
      <c r="L10" s="1264" t="s">
        <v>1029</v>
      </c>
      <c r="M10" s="1264" t="s">
        <v>488</v>
      </c>
      <c r="N10" s="1264" t="s">
        <v>1858</v>
      </c>
      <c r="O10" s="1323" t="s">
        <v>1862</v>
      </c>
      <c r="P10" s="2069" t="s">
        <v>1870</v>
      </c>
      <c r="Q10" s="2071" t="s">
        <v>2193</v>
      </c>
      <c r="R10" s="2071" t="s">
        <v>1863</v>
      </c>
      <c r="S10" s="2071" t="s">
        <v>1896</v>
      </c>
      <c r="T10" s="2071" t="s">
        <v>1897</v>
      </c>
      <c r="U10" s="2175" t="s">
        <v>1998</v>
      </c>
      <c r="V10" s="2175" t="s">
        <v>1998</v>
      </c>
      <c r="W10" s="2111"/>
      <c r="X10" s="2568" t="s">
        <v>1030</v>
      </c>
      <c r="Y10" s="2558"/>
      <c r="Z10" s="2562" t="s">
        <v>358</v>
      </c>
      <c r="AA10" s="2562"/>
      <c r="AB10" s="2558" t="s">
        <v>1028</v>
      </c>
      <c r="AC10" s="2558"/>
      <c r="AD10" s="2562" t="s">
        <v>1029</v>
      </c>
      <c r="AE10" s="2563"/>
    </row>
    <row r="11" spans="1:35" ht="20" customHeight="1" x14ac:dyDescent="0.2">
      <c r="D11" s="1"/>
      <c r="E11" s="25"/>
      <c r="F11" s="2086"/>
      <c r="G11" s="2087"/>
      <c r="H11" s="1868"/>
      <c r="I11" s="1264"/>
      <c r="J11" s="1264"/>
      <c r="K11" s="1264"/>
      <c r="L11" s="1264"/>
      <c r="M11" s="1264"/>
      <c r="N11" s="1264"/>
      <c r="O11" s="1323"/>
      <c r="P11" s="2069"/>
      <c r="Q11" s="2071"/>
      <c r="R11" s="2071"/>
      <c r="S11" s="2071">
        <f>IF(AND($H$37&gt;=AG16,$H$37&lt;=AH16),1,0)</f>
        <v>1</v>
      </c>
      <c r="T11" s="2071">
        <f>IF(AND($H$37&gt;=AG17,$H$37&lt;=AH17),1,0)</f>
        <v>0</v>
      </c>
      <c r="U11" s="2175"/>
      <c r="V11" s="2175"/>
      <c r="W11" s="2111"/>
      <c r="X11" s="1922"/>
      <c r="Y11" s="1824"/>
      <c r="Z11" s="5"/>
      <c r="AA11" s="5"/>
      <c r="AB11" s="1824"/>
      <c r="AC11" s="1824"/>
      <c r="AD11" s="5"/>
      <c r="AE11" s="1919"/>
    </row>
    <row r="12" spans="1:35" ht="113" customHeight="1" x14ac:dyDescent="0.2">
      <c r="D12" s="13"/>
      <c r="F12" s="1310"/>
      <c r="G12" s="1311"/>
      <c r="H12" s="1272"/>
      <c r="I12" s="591"/>
      <c r="J12" s="591"/>
      <c r="K12" s="591"/>
      <c r="L12" s="591"/>
      <c r="M12" s="591"/>
      <c r="N12" s="1"/>
      <c r="O12" s="1"/>
      <c r="S12" s="2257" t="s">
        <v>2378</v>
      </c>
      <c r="T12" s="2257" t="s">
        <v>2379</v>
      </c>
      <c r="U12" s="16" t="s">
        <v>2228</v>
      </c>
      <c r="V12" s="16" t="s">
        <v>2228</v>
      </c>
      <c r="X12" s="1922" t="s">
        <v>1058</v>
      </c>
      <c r="Y12" s="1824" t="s">
        <v>1059</v>
      </c>
      <c r="Z12" s="5" t="s">
        <v>1058</v>
      </c>
      <c r="AA12" s="5" t="s">
        <v>1059</v>
      </c>
      <c r="AB12" s="1824" t="s">
        <v>1058</v>
      </c>
      <c r="AC12" s="1824" t="s">
        <v>1059</v>
      </c>
      <c r="AD12" s="5" t="s">
        <v>1058</v>
      </c>
      <c r="AE12" s="1919" t="s">
        <v>1059</v>
      </c>
      <c r="AG12" t="s">
        <v>1829</v>
      </c>
    </row>
    <row r="13" spans="1:35" s="7" customFormat="1" ht="34" x14ac:dyDescent="0.2">
      <c r="A13" s="1928"/>
      <c r="B13" s="7" t="str">
        <f>BIBLE!E97</f>
        <v>PFA11</v>
      </c>
      <c r="C13" s="25" t="str">
        <f>Test_Bible!B183</f>
        <v xml:space="preserve">L'autre parent est d'avis que votre enfant est assez mature pour choisir où il doit vivre et avec quel parent.  </v>
      </c>
      <c r="D13" s="2559" t="s">
        <v>1865</v>
      </c>
      <c r="F13" s="2088">
        <f>Test_Bible!D183</f>
        <v>3</v>
      </c>
      <c r="G13" s="2089">
        <f>Test_Bible!P183</f>
        <v>10</v>
      </c>
      <c r="H13" s="1871">
        <f t="shared" ref="H13:H16" si="0">G13</f>
        <v>10</v>
      </c>
      <c r="I13" s="557">
        <v>0</v>
      </c>
      <c r="J13" s="557" t="s">
        <v>1065</v>
      </c>
      <c r="K13" s="2076" t="s">
        <v>1046</v>
      </c>
      <c r="L13" s="557" t="s">
        <v>1044</v>
      </c>
      <c r="M13" s="2077">
        <v>10</v>
      </c>
      <c r="N13" s="8">
        <f>G13*F13</f>
        <v>30</v>
      </c>
      <c r="O13" s="8"/>
      <c r="P13" s="1911"/>
      <c r="Q13" s="505">
        <f>IF(OR(C13=" ",$P$17="")," ",IF(O$17&gt;=$P$38,IF(H13&gt;=7,U13," ")," "))</f>
        <v>0</v>
      </c>
      <c r="R13" s="505">
        <f>IF(OR(C13="",$P$17="")," ",IF(O$17&gt;=$P$38,IF(N13&gt;=O$17,V13," ")," "))</f>
        <v>0</v>
      </c>
      <c r="S13" s="2256"/>
      <c r="T13" s="25"/>
      <c r="U13" s="2322"/>
      <c r="V13" s="2322"/>
      <c r="W13" s="16"/>
      <c r="X13" s="2065">
        <v>0</v>
      </c>
      <c r="Y13" s="2066">
        <v>3</v>
      </c>
      <c r="Z13" s="7">
        <v>4</v>
      </c>
      <c r="AA13" s="7">
        <v>6</v>
      </c>
      <c r="AB13" s="594">
        <v>7</v>
      </c>
      <c r="AC13" s="594">
        <v>10</v>
      </c>
      <c r="AD13" s="7">
        <v>10</v>
      </c>
      <c r="AE13" s="2067">
        <v>10</v>
      </c>
      <c r="AG13" t="s">
        <v>1058</v>
      </c>
      <c r="AH13" t="s">
        <v>1059</v>
      </c>
      <c r="AI13" t="s">
        <v>1062</v>
      </c>
    </row>
    <row r="14" spans="1:35" s="7" customFormat="1" ht="118" customHeight="1" x14ac:dyDescent="0.2">
      <c r="A14" s="1928"/>
      <c r="B14" s="21" t="str">
        <f>BIBLE!E98</f>
        <v>PFA11a</v>
      </c>
      <c r="C14" s="698" t="str">
        <f>Test_Bible!B184</f>
        <v>Est-ce que l'autre parent vous demande de respecter les désirs et les choix de votre enfant ?</v>
      </c>
      <c r="D14" s="2560"/>
      <c r="F14" s="2091">
        <f>Test_Bible!D184</f>
        <v>3</v>
      </c>
      <c r="G14" s="2089">
        <f>Test_Bible!P184</f>
        <v>7</v>
      </c>
      <c r="H14" s="1871">
        <f t="shared" si="0"/>
        <v>7</v>
      </c>
      <c r="I14" s="1874" t="s">
        <v>1055</v>
      </c>
      <c r="J14" s="2048" t="s">
        <v>753</v>
      </c>
      <c r="K14" s="1874" t="s">
        <v>1046</v>
      </c>
      <c r="L14" s="1874" t="s">
        <v>1044</v>
      </c>
      <c r="M14" s="2083">
        <v>10</v>
      </c>
      <c r="N14" s="8">
        <f>G14*F14</f>
        <v>21</v>
      </c>
      <c r="O14" s="8"/>
      <c r="P14" s="1911"/>
      <c r="Q14" s="505">
        <f t="shared" ref="Q14:Q16" si="1">IF(OR(C14=" ",$P$17="")," ",IF(O$17&gt;=$P$38,IF(H14&gt;=7,U14," ")," "))</f>
        <v>0</v>
      </c>
      <c r="R14" s="505" t="str">
        <f>IF(OR(C14="",$P$17="")," ",IF(O$17&gt;=$P$38,IF(N14&gt;=O$17,V14," ")," "))</f>
        <v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c r="S14" s="2256"/>
      <c r="T14" s="25"/>
      <c r="U14" s="2322"/>
      <c r="V14" s="2441" t="s">
        <v>2402</v>
      </c>
      <c r="W14" s="16"/>
      <c r="X14" s="2065">
        <v>0</v>
      </c>
      <c r="Y14" s="2066">
        <v>3</v>
      </c>
      <c r="Z14" s="7">
        <v>2</v>
      </c>
      <c r="AA14" s="7">
        <v>3</v>
      </c>
      <c r="AB14" s="594">
        <v>4</v>
      </c>
      <c r="AC14" s="594">
        <v>6</v>
      </c>
      <c r="AD14" s="7">
        <v>7</v>
      </c>
      <c r="AE14" s="2067">
        <v>10</v>
      </c>
      <c r="AG14" s="5">
        <v>0</v>
      </c>
      <c r="AH14" s="5">
        <f>Y39</f>
        <v>27</v>
      </c>
      <c r="AI14" t="s">
        <v>1060</v>
      </c>
    </row>
    <row r="15" spans="1:35" s="7" customFormat="1" ht="34" customHeight="1" x14ac:dyDescent="0.2">
      <c r="A15" s="1928"/>
      <c r="B15" s="7" t="str">
        <f>Test_Bible!A250</f>
        <v>PFA36</v>
      </c>
      <c r="C15" s="25" t="str">
        <f>Test_Bible!B250</f>
        <v/>
      </c>
      <c r="D15" s="2560"/>
      <c r="F15" s="2088">
        <f>Test_Bible!D250</f>
        <v>3</v>
      </c>
      <c r="G15" s="2089">
        <f>Test_Bible!P250</f>
        <v>0</v>
      </c>
      <c r="H15" s="1871">
        <f t="shared" si="0"/>
        <v>0</v>
      </c>
      <c r="I15" s="557" t="s">
        <v>1056</v>
      </c>
      <c r="J15" s="2076" t="s">
        <v>1054</v>
      </c>
      <c r="K15" s="2076" t="s">
        <v>1046</v>
      </c>
      <c r="L15" s="557" t="s">
        <v>1044</v>
      </c>
      <c r="M15" s="2083">
        <v>10</v>
      </c>
      <c r="N15" s="8">
        <f>G15*F15</f>
        <v>0</v>
      </c>
      <c r="O15" s="8"/>
      <c r="P15" s="1911"/>
      <c r="Q15" s="505" t="str">
        <f t="shared" si="1"/>
        <v xml:space="preserve"> </v>
      </c>
      <c r="R15" s="505" t="str">
        <f>IF(OR(C15="",$P$17="")," ",IF(O$17&gt;=$P$38,IF(N15&gt;=O$17,V15," ")," "))</f>
        <v xml:space="preserve"> </v>
      </c>
      <c r="S15" s="2256"/>
      <c r="T15" s="25"/>
      <c r="U15" s="2322"/>
      <c r="V15" s="2322"/>
      <c r="W15" s="16"/>
      <c r="X15" s="2065">
        <v>0</v>
      </c>
      <c r="Y15" s="2066">
        <v>1</v>
      </c>
      <c r="Z15" s="7">
        <v>2</v>
      </c>
      <c r="AA15" s="7">
        <v>3</v>
      </c>
      <c r="AB15" s="594">
        <v>4</v>
      </c>
      <c r="AC15" s="594">
        <v>6</v>
      </c>
      <c r="AD15" s="7">
        <v>7</v>
      </c>
      <c r="AE15" s="2067">
        <v>10</v>
      </c>
      <c r="AG15" s="5">
        <f>AH14+1</f>
        <v>28</v>
      </c>
      <c r="AH15" s="5">
        <f>AA39</f>
        <v>63</v>
      </c>
      <c r="AI15" t="s">
        <v>1061</v>
      </c>
    </row>
    <row r="16" spans="1:35" s="7" customFormat="1" ht="363" customHeight="1" x14ac:dyDescent="0.2">
      <c r="A16" s="1928"/>
      <c r="B16" s="21" t="str">
        <f>BIBLE!E110</f>
        <v>PFA16b1</v>
      </c>
      <c r="C16" s="698" t="str">
        <f>Test_Bible!B196</f>
        <v>Arrive-t-il que l’autre parent organise et propose des activités amusantes, voire irrésistibles à votre enfant durant votre temps de garde ?</v>
      </c>
      <c r="D16" s="2561"/>
      <c r="F16" s="2088">
        <f>Test_Bible!D196</f>
        <v>3</v>
      </c>
      <c r="G16" s="2089">
        <f>Test_Bible!P196</f>
        <v>7</v>
      </c>
      <c r="H16" s="1871">
        <f t="shared" si="0"/>
        <v>7</v>
      </c>
      <c r="I16" s="557" t="s">
        <v>1056</v>
      </c>
      <c r="J16" s="2076" t="s">
        <v>1054</v>
      </c>
      <c r="K16" s="2076" t="s">
        <v>1046</v>
      </c>
      <c r="L16" s="557" t="s">
        <v>1044</v>
      </c>
      <c r="M16" s="2085">
        <v>10</v>
      </c>
      <c r="N16" s="8">
        <f>G16*F16</f>
        <v>21</v>
      </c>
      <c r="O16" s="8"/>
      <c r="P16" s="1911"/>
      <c r="Q16" s="505">
        <f t="shared" si="1"/>
        <v>0</v>
      </c>
      <c r="R16" s="505" t="str">
        <f>IF(OR(C16="",$P$17="")," ",IF(O$17&gt;=$P$38,IF(N16&gt;=O$17,V16," ")," "))</f>
        <v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v>
      </c>
      <c r="S16" s="2256"/>
      <c r="T16" s="25"/>
      <c r="U16" s="2412"/>
      <c r="V16" s="2412" t="s">
        <v>2387</v>
      </c>
      <c r="W16" s="16"/>
      <c r="X16" s="2065">
        <v>0</v>
      </c>
      <c r="Y16" s="2066">
        <v>1</v>
      </c>
      <c r="Z16" s="7">
        <v>2</v>
      </c>
      <c r="AA16" s="7">
        <v>3</v>
      </c>
      <c r="AB16" s="594">
        <v>4</v>
      </c>
      <c r="AC16" s="594">
        <v>6</v>
      </c>
      <c r="AD16" s="7">
        <v>7</v>
      </c>
      <c r="AE16" s="2067">
        <v>10</v>
      </c>
      <c r="AG16" s="5">
        <f t="shared" ref="AG16:AG17" si="2">AH15+1</f>
        <v>64</v>
      </c>
      <c r="AH16" s="5">
        <f>AC39</f>
        <v>122</v>
      </c>
      <c r="AI16" t="s">
        <v>1063</v>
      </c>
    </row>
    <row r="17" spans="1:42" s="7" customFormat="1" ht="108" customHeight="1" x14ac:dyDescent="0.2">
      <c r="C17" s="25"/>
      <c r="D17" s="2078"/>
      <c r="E17" s="2079"/>
      <c r="F17" s="2090"/>
      <c r="G17" s="2090"/>
      <c r="H17" s="2051"/>
      <c r="I17" s="2050"/>
      <c r="J17" s="2050"/>
      <c r="K17" s="2050"/>
      <c r="L17" s="2050"/>
      <c r="M17" s="2050"/>
      <c r="N17" s="2054"/>
      <c r="O17" s="2054">
        <f>AVERAGE(N13:N16)</f>
        <v>18</v>
      </c>
      <c r="P17" s="1911" t="str">
        <f>IF(O17&gt;=AVERAGE($O$17,$O$21,$O$26,$O$30,$O$34),HLOOKUP(1,$S$11:$T$42,7),"")</f>
        <v xml:space="preserve">L’autre parent semble donner à votre enfant la responsabilité de choisir – où il devrait vivre et/ou le respect de votre temps parental. De respecter le temps parental prévu. Ce qui pourrait fragiliser votre relation avec votre enfant. </v>
      </c>
      <c r="Q17" s="2427" t="str">
        <f>IF(P17="","",U17)</f>
        <v xml:space="preserve">Lorem ipsum eligendi  – DRAPEAU JAUNE PAR THÈME -- donner à l'enfant la responsabilité de chosir va à l'encontre de son intérêt -- unde similique sed deserunt aperiam ad eligendi tempora! </v>
      </c>
      <c r="R17" s="2427">
        <f>IF(P17="","",V17)</f>
        <v>0</v>
      </c>
      <c r="S17" s="2257" t="s">
        <v>2380</v>
      </c>
      <c r="T17" s="2257" t="s">
        <v>2381</v>
      </c>
      <c r="U17" s="2322" t="s">
        <v>2398</v>
      </c>
      <c r="V17" s="2339"/>
      <c r="X17" s="2065"/>
      <c r="Y17" s="2066"/>
      <c r="AB17" s="594"/>
      <c r="AC17" s="594"/>
      <c r="AE17" s="2067"/>
      <c r="AG17" s="5">
        <f t="shared" si="2"/>
        <v>123</v>
      </c>
      <c r="AH17" s="5">
        <f>AE39</f>
        <v>180</v>
      </c>
      <c r="AI17" t="s">
        <v>1064</v>
      </c>
    </row>
    <row r="18" spans="1:42" s="7" customFormat="1" ht="25" customHeight="1" x14ac:dyDescent="0.2">
      <c r="A18" s="287"/>
      <c r="B18" s="7" t="str">
        <f>BIBLE!E104</f>
        <v>PFA14</v>
      </c>
      <c r="C18" s="25" t="str">
        <f>Test_Bible!B190</f>
        <v/>
      </c>
      <c r="D18" s="2559" t="s">
        <v>1902</v>
      </c>
      <c r="F18" s="2088">
        <f>Test_Bible!D190</f>
        <v>1</v>
      </c>
      <c r="G18" s="2089">
        <f>Test_Bible!P190</f>
        <v>0</v>
      </c>
      <c r="H18" s="1871">
        <f t="shared" ref="H18:H20" si="3">G18</f>
        <v>0</v>
      </c>
      <c r="I18" s="1874" t="s">
        <v>1055</v>
      </c>
      <c r="J18" s="1874" t="s">
        <v>1046</v>
      </c>
      <c r="K18" s="1874" t="s">
        <v>1044</v>
      </c>
      <c r="L18" s="1874"/>
      <c r="M18" s="2077">
        <v>10</v>
      </c>
      <c r="N18" s="8">
        <f>G18*F18</f>
        <v>0</v>
      </c>
      <c r="P18" s="1911"/>
      <c r="Q18" s="505" t="str">
        <f>IF(OR(C18=" ",$P$21="")," ",IF(O$21&gt;=$P$38,IF(H18&gt;=7,U18," ")," "))</f>
        <v xml:space="preserve"> </v>
      </c>
      <c r="R18" s="505" t="str">
        <f>IF(OR(C18=" ",$P$21="")," ",IF(O$21&gt;=$P$38,IF(N18&gt;=O$21,V18," ")," "))</f>
        <v xml:space="preserve"> </v>
      </c>
      <c r="S18" s="2256"/>
      <c r="T18" s="2256"/>
      <c r="U18" s="2322"/>
      <c r="V18" s="2322"/>
      <c r="W18" s="16"/>
      <c r="X18" s="2065">
        <v>0</v>
      </c>
      <c r="Y18" s="2066">
        <v>3</v>
      </c>
      <c r="Z18" s="7">
        <v>4</v>
      </c>
      <c r="AA18" s="7">
        <v>6</v>
      </c>
      <c r="AB18" s="594">
        <v>7</v>
      </c>
      <c r="AC18" s="594">
        <v>10</v>
      </c>
      <c r="AD18" s="7">
        <v>10</v>
      </c>
      <c r="AE18" s="2067">
        <v>10</v>
      </c>
    </row>
    <row r="19" spans="1:42" s="7" customFormat="1" ht="68" x14ac:dyDescent="0.2">
      <c r="A19" s="1928"/>
      <c r="B19" s="7" t="str">
        <f>BIBLE!E105</f>
        <v>PFA15</v>
      </c>
      <c r="C19" s="25" t="str">
        <f>Test_Bible!B191</f>
        <v>L'autre parent laisse entendre qu'il ou elle représente la vraie famille de votre enfant.</v>
      </c>
      <c r="D19" s="2560"/>
      <c r="F19" s="2088">
        <f>Test_Bible!D191</f>
        <v>2</v>
      </c>
      <c r="G19" s="2089">
        <f>Test_Bible!P191</f>
        <v>2</v>
      </c>
      <c r="H19" s="1871">
        <f t="shared" si="3"/>
        <v>2</v>
      </c>
      <c r="I19" s="1874" t="s">
        <v>1055</v>
      </c>
      <c r="J19" s="1874" t="s">
        <v>1046</v>
      </c>
      <c r="K19" s="1874" t="s">
        <v>1044</v>
      </c>
      <c r="L19" s="1874"/>
      <c r="M19" s="2083">
        <v>10</v>
      </c>
      <c r="N19" s="8">
        <f>G19*F19</f>
        <v>4</v>
      </c>
      <c r="P19" s="1911"/>
      <c r="Q19" s="505" t="str">
        <f t="shared" ref="Q19:Q20" si="4">IF(OR(C19=" ",$P$21="")," ",IF(O$21&gt;=$P$38,IF(H19&gt;=7,U19," ")," "))</f>
        <v xml:space="preserve"> </v>
      </c>
      <c r="R19" s="505" t="str">
        <f t="shared" ref="R19" si="5">IF(OR(C19=" ",$P$21="")," ",IF(O$21&gt;=$P$38,IF(N19&gt;=O$21,V19," ")," "))</f>
        <v xml:space="preserve"> </v>
      </c>
      <c r="S19" s="2256"/>
      <c r="T19" s="25"/>
      <c r="U19" s="2322"/>
      <c r="V19" s="2322" t="s">
        <v>2395</v>
      </c>
      <c r="W19" s="16"/>
      <c r="X19" s="2065">
        <v>0</v>
      </c>
      <c r="Y19" s="2066">
        <v>3</v>
      </c>
      <c r="Z19" s="7">
        <v>4</v>
      </c>
      <c r="AA19" s="7">
        <v>6</v>
      </c>
      <c r="AB19" s="594">
        <v>7</v>
      </c>
      <c r="AC19" s="594">
        <v>10</v>
      </c>
      <c r="AD19" s="7">
        <v>10</v>
      </c>
      <c r="AE19" s="2067">
        <v>10</v>
      </c>
    </row>
    <row r="20" spans="1:42" s="7" customFormat="1" ht="30" customHeight="1" x14ac:dyDescent="0.2">
      <c r="A20" s="1928"/>
      <c r="B20" s="21" t="str">
        <f>BIBLE!E106</f>
        <v>PFA15a</v>
      </c>
      <c r="C20" s="698" t="str">
        <f>Test_Bible!B192</f>
        <v/>
      </c>
      <c r="D20" s="2561"/>
      <c r="F20" s="2091">
        <f>Test_Bible!D192</f>
        <v>3</v>
      </c>
      <c r="G20" s="2089">
        <f>Test_Bible!P192</f>
        <v>0</v>
      </c>
      <c r="H20" s="1871">
        <f t="shared" si="3"/>
        <v>0</v>
      </c>
      <c r="I20" s="1874" t="s">
        <v>1056</v>
      </c>
      <c r="J20" s="2048" t="s">
        <v>1054</v>
      </c>
      <c r="K20" s="2048" t="s">
        <v>1960</v>
      </c>
      <c r="L20" s="1874" t="s">
        <v>1958</v>
      </c>
      <c r="M20" s="2085">
        <v>10</v>
      </c>
      <c r="N20" s="8">
        <f>G20*F20</f>
        <v>0</v>
      </c>
      <c r="P20" s="1911"/>
      <c r="Q20" s="505" t="str">
        <f t="shared" si="4"/>
        <v xml:space="preserve"> </v>
      </c>
      <c r="R20" s="505" t="str">
        <f>IF(OR(C20=" ",$P$21="")," ",IF(O$21&gt;=$P$38,IF(N20&gt;=O$21,V20," ")," "))</f>
        <v xml:space="preserve"> </v>
      </c>
      <c r="S20" s="2256"/>
      <c r="T20" s="25"/>
      <c r="U20" s="2322"/>
      <c r="V20" s="2322"/>
      <c r="W20" s="16"/>
      <c r="X20" s="2065">
        <v>0</v>
      </c>
      <c r="Y20" s="2066">
        <v>1</v>
      </c>
      <c r="Z20" s="7">
        <v>2</v>
      </c>
      <c r="AA20" s="7">
        <v>3</v>
      </c>
      <c r="AB20" s="594">
        <v>4</v>
      </c>
      <c r="AC20" s="594">
        <v>5</v>
      </c>
      <c r="AD20" s="7">
        <v>6</v>
      </c>
      <c r="AE20" s="2067">
        <v>10</v>
      </c>
    </row>
    <row r="21" spans="1:42" s="7" customFormat="1" ht="90" customHeight="1" x14ac:dyDescent="0.2">
      <c r="C21" s="25"/>
      <c r="D21" s="2078"/>
      <c r="E21" s="2079"/>
      <c r="F21" s="2090"/>
      <c r="G21" s="2090"/>
      <c r="H21" s="2051"/>
      <c r="I21" s="2050"/>
      <c r="J21" s="2050"/>
      <c r="K21" s="2050"/>
      <c r="L21" s="2050"/>
      <c r="M21" s="2050"/>
      <c r="N21" s="2054"/>
      <c r="O21" s="2054">
        <f>AVERAGE(N18:N20)</f>
        <v>1.3333333333333333</v>
      </c>
      <c r="P21" s="1911" t="str">
        <f>IF(O21&gt;=AVERAGE($O$17,$O$21,$O$26,$O$30,$O$34),HLOOKUP(1,$S$11:$T$42,11),"")</f>
        <v/>
      </c>
      <c r="Q21" s="2427" t="str">
        <f>IF(P21="","",U21)</f>
        <v/>
      </c>
      <c r="R21" s="2427" t="str">
        <f>IF(P21="","",V21)</f>
        <v/>
      </c>
      <c r="S21" s="2161" t="s">
        <v>2392</v>
      </c>
      <c r="T21" s="2161" t="s">
        <v>2391</v>
      </c>
      <c r="U21" s="2322" t="s">
        <v>2393</v>
      </c>
      <c r="V21" s="2322" t="s">
        <v>2397</v>
      </c>
      <c r="X21" s="2065"/>
      <c r="Y21" s="2066"/>
      <c r="AB21" s="594"/>
      <c r="AC21" s="594"/>
      <c r="AE21" s="2067"/>
    </row>
    <row r="22" spans="1:42" s="7" customFormat="1" ht="34" customHeight="1" x14ac:dyDescent="0.2">
      <c r="A22" s="1928"/>
      <c r="B22" s="7" t="str">
        <f>Test_Bible!A199</f>
        <v>PFA19</v>
      </c>
      <c r="C22" s="25" t="str">
        <f>Test_Bible!B199</f>
        <v>L'autre parent vous communique les informations médicales, scolaires et liées aux activités sociales ou sportives de votre enfant.</v>
      </c>
      <c r="D22" s="2340" t="s">
        <v>1898</v>
      </c>
      <c r="F22" s="2088">
        <f>Test_Bible!D199</f>
        <v>2</v>
      </c>
      <c r="G22" s="2089">
        <f>Test_Bible!P199</f>
        <v>7</v>
      </c>
      <c r="H22" s="1871">
        <f>G22</f>
        <v>7</v>
      </c>
      <c r="I22" s="557" t="s">
        <v>1055</v>
      </c>
      <c r="J22" s="2076" t="s">
        <v>1046</v>
      </c>
      <c r="K22" s="557" t="s">
        <v>1044</v>
      </c>
      <c r="L22" s="557"/>
      <c r="M22" s="2077">
        <v>10</v>
      </c>
      <c r="N22" s="8">
        <f>G22*F22</f>
        <v>14</v>
      </c>
      <c r="P22" s="1911"/>
      <c r="Q22" s="505">
        <f>IF(OR(C22=" ",$P$26="")," ",IF(O$26&gt;=$P$38,IF(H22&gt;=7,U22," ")," "))</f>
        <v>0</v>
      </c>
      <c r="R22" s="505">
        <f>IF(OR(D22=" ",$P$26="")," ",IF(O$26&gt;=$P$38,IF(H22&gt;=7,V22," ")," "))</f>
        <v>0</v>
      </c>
      <c r="S22" s="2256"/>
      <c r="T22" s="25"/>
      <c r="U22" s="2322"/>
      <c r="V22" s="2322"/>
      <c r="W22" s="16"/>
      <c r="X22" s="2065">
        <v>0</v>
      </c>
      <c r="Y22" s="2066">
        <v>3</v>
      </c>
      <c r="Z22" s="7">
        <v>4</v>
      </c>
      <c r="AA22" s="7">
        <v>6</v>
      </c>
      <c r="AB22" s="594">
        <v>7</v>
      </c>
      <c r="AC22" s="594">
        <v>10</v>
      </c>
      <c r="AD22" s="7">
        <v>10</v>
      </c>
      <c r="AE22" s="2067">
        <v>10</v>
      </c>
    </row>
    <row r="23" spans="1:42" s="7" customFormat="1" ht="51" x14ac:dyDescent="0.2">
      <c r="A23" s="1928"/>
      <c r="B23" s="21" t="str">
        <f>Test_Bible!A200</f>
        <v>PFA19a</v>
      </c>
      <c r="C23" s="698" t="str">
        <f>Test_Bible!B200</f>
        <v>L'autre parent demande aux personnes gravitant autour de votre enfant (profs, médecins, entraîneurs, etc.) de ne PAS vous communiquer de l'information à son sujet.</v>
      </c>
      <c r="D23" s="2246"/>
      <c r="F23" s="2091">
        <f>Test_Bible!D200</f>
        <v>3</v>
      </c>
      <c r="G23" s="2089">
        <f>Test_Bible!P200</f>
        <v>4</v>
      </c>
      <c r="H23" s="1871">
        <f>G23</f>
        <v>4</v>
      </c>
      <c r="I23" s="1874" t="s">
        <v>1055</v>
      </c>
      <c r="J23" s="2048" t="s">
        <v>1046</v>
      </c>
      <c r="K23" s="1874" t="s">
        <v>1044</v>
      </c>
      <c r="L23" s="557"/>
      <c r="M23" s="2083">
        <v>10</v>
      </c>
      <c r="N23" s="8">
        <f>G23*F23</f>
        <v>12</v>
      </c>
      <c r="P23" s="1911"/>
      <c r="Q23" s="505" t="str">
        <f t="shared" ref="Q23:Q25" si="6">IF(OR(C23=" ",$P$26="")," ",IF(O$26&gt;=$P$38,IF(H23&gt;=7,U23," ")," "))</f>
        <v xml:space="preserve"> </v>
      </c>
      <c r="R23" s="505" t="str">
        <f t="shared" ref="R23:R25" si="7">IF(OR(D23=" ",$P$26="")," ",IF(O$26&gt;=$P$38,IF(H23&gt;=7,V23," ")," "))</f>
        <v xml:space="preserve"> </v>
      </c>
      <c r="S23" s="2256"/>
      <c r="T23" s="25"/>
      <c r="U23" s="2322"/>
      <c r="V23" s="2322"/>
      <c r="W23" s="16"/>
      <c r="X23" s="2065">
        <v>0</v>
      </c>
      <c r="Y23" s="2066">
        <v>3</v>
      </c>
      <c r="Z23" s="7">
        <v>4</v>
      </c>
      <c r="AA23" s="7">
        <v>6</v>
      </c>
      <c r="AB23" s="594">
        <v>7</v>
      </c>
      <c r="AC23" s="594">
        <v>10</v>
      </c>
      <c r="AD23" s="7">
        <v>10</v>
      </c>
      <c r="AE23" s="2067">
        <v>10</v>
      </c>
    </row>
    <row r="24" spans="1:42" s="7" customFormat="1" ht="51" x14ac:dyDescent="0.2">
      <c r="A24" s="1928"/>
      <c r="B24" s="7" t="str">
        <f>Test_Bible!A423</f>
        <v>NC13</v>
      </c>
      <c r="C24" s="25" t="str">
        <f>Test_Bible!B423</f>
        <v>Le nouveau ou nouvelle conjoint·e demande aux personnes gravitant autour de votre enfant de ne PAS vous communiquer de l'information à son sujet.</v>
      </c>
      <c r="D24" s="2246"/>
      <c r="F24" s="2088">
        <f>Test_Bible!D423</f>
        <v>3</v>
      </c>
      <c r="G24" s="2089">
        <f>Test_Bible!P423</f>
        <v>7</v>
      </c>
      <c r="H24" s="1871">
        <f>G24</f>
        <v>7</v>
      </c>
      <c r="I24" s="1874" t="s">
        <v>1055</v>
      </c>
      <c r="J24" s="2048" t="s">
        <v>1046</v>
      </c>
      <c r="K24" s="1874" t="s">
        <v>1044</v>
      </c>
      <c r="L24" s="557"/>
      <c r="M24" s="2083">
        <v>10</v>
      </c>
      <c r="N24" s="8">
        <f>G24*F24</f>
        <v>21</v>
      </c>
      <c r="P24" s="1911"/>
      <c r="Q24" s="505">
        <f t="shared" si="6"/>
        <v>0</v>
      </c>
      <c r="R24" s="505">
        <f t="shared" si="7"/>
        <v>0</v>
      </c>
      <c r="S24" s="2256"/>
      <c r="T24" s="25"/>
      <c r="U24" s="2322"/>
      <c r="V24" s="2322"/>
      <c r="W24" s="16"/>
      <c r="X24" s="2065">
        <v>0</v>
      </c>
      <c r="Y24" s="2066">
        <v>3</v>
      </c>
      <c r="Z24" s="7">
        <v>4</v>
      </c>
      <c r="AA24" s="7">
        <v>6</v>
      </c>
      <c r="AB24" s="594">
        <v>7</v>
      </c>
      <c r="AC24" s="594">
        <v>10</v>
      </c>
      <c r="AD24" s="7">
        <v>10</v>
      </c>
      <c r="AE24" s="2067">
        <v>10</v>
      </c>
    </row>
    <row r="25" spans="1:42" s="7" customFormat="1" ht="68" x14ac:dyDescent="0.2">
      <c r="A25" s="287"/>
      <c r="B25" s="7" t="str">
        <f>BIBLE!E130</f>
        <v>PFA28a</v>
      </c>
      <c r="C25" s="25" t="str">
        <f>Test_Bible!B219</f>
        <v xml:space="preserve">L’autre parent jette les cadeaux que vous avez offerts à votre enfant ou proscrit les photographies de vous dans sa demeure. </v>
      </c>
      <c r="D25" s="2246"/>
      <c r="F25" s="2088">
        <f>Test_Bible!D219</f>
        <v>3</v>
      </c>
      <c r="G25" s="2089">
        <f>Test_Bible!P219</f>
        <v>4</v>
      </c>
      <c r="H25" s="1871">
        <f>G25</f>
        <v>4</v>
      </c>
      <c r="I25" s="1874">
        <v>0</v>
      </c>
      <c r="J25" s="1874">
        <v>1</v>
      </c>
      <c r="K25" s="1874" t="s">
        <v>1054</v>
      </c>
      <c r="L25" s="1874" t="s">
        <v>1057</v>
      </c>
      <c r="M25" s="2083">
        <v>10</v>
      </c>
      <c r="N25" s="8">
        <f>G25*F25</f>
        <v>12</v>
      </c>
      <c r="P25" s="1911"/>
      <c r="Q25" s="505" t="str">
        <f t="shared" si="6"/>
        <v xml:space="preserve"> </v>
      </c>
      <c r="R25" s="505" t="str">
        <f t="shared" si="7"/>
        <v xml:space="preserve"> </v>
      </c>
      <c r="S25" s="2256"/>
      <c r="T25" s="25"/>
      <c r="U25" s="2322"/>
      <c r="V25" s="2322" t="s">
        <v>2394</v>
      </c>
      <c r="W25" s="16"/>
      <c r="X25" s="2065">
        <v>0</v>
      </c>
      <c r="Y25" s="2066">
        <v>0</v>
      </c>
      <c r="Z25" s="7">
        <v>1</v>
      </c>
      <c r="AA25" s="7">
        <v>1</v>
      </c>
      <c r="AB25" s="594">
        <v>2</v>
      </c>
      <c r="AC25" s="594">
        <v>3</v>
      </c>
      <c r="AD25" s="7">
        <v>4</v>
      </c>
      <c r="AE25" s="2067">
        <v>10</v>
      </c>
      <c r="AO25" s="8"/>
      <c r="AP25" s="8"/>
    </row>
    <row r="26" spans="1:42" s="7" customFormat="1" ht="94" customHeight="1" x14ac:dyDescent="0.2">
      <c r="C26" s="25"/>
      <c r="D26" s="2079"/>
      <c r="E26" s="2079"/>
      <c r="F26" s="2090"/>
      <c r="G26" s="2092"/>
      <c r="H26" s="2093"/>
      <c r="I26" s="2050"/>
      <c r="J26" s="2050"/>
      <c r="K26" s="2050"/>
      <c r="L26" s="2050"/>
      <c r="M26" s="2050"/>
      <c r="N26" s="2052"/>
      <c r="O26" s="2054">
        <f>AVERAGE(N22:N25)</f>
        <v>14.75</v>
      </c>
      <c r="P26" s="1911" t="str">
        <f>IF(O26&gt;=AVERAGE($O$17,$O$21,$O$26,$O$30,$O$34),HLOOKUP(1,$S$11:$T$42,16),"")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c r="Q26" s="2427" t="str">
        <f>IF(P26="","",U26)</f>
        <v xml:space="preserve">Lorem ipsum eligendi tempora qui nihil animi qui dolore consequatur  – DRAPEAU JAUNE PAR THÈME -- unde similique sed deserunt aperiam ad eligendi tempora! </v>
      </c>
      <c r="R26" s="2427">
        <f>IF(P26="","",V26)</f>
        <v>0</v>
      </c>
      <c r="S26" s="2257" t="s">
        <v>2389</v>
      </c>
      <c r="T26" s="2257" t="s">
        <v>2389</v>
      </c>
      <c r="U26" s="2322" t="s">
        <v>2393</v>
      </c>
      <c r="V26" s="2339"/>
      <c r="X26" s="2065"/>
      <c r="Y26" s="2066"/>
      <c r="AB26" s="594"/>
      <c r="AC26" s="594"/>
      <c r="AE26" s="2067"/>
      <c r="AO26" s="8"/>
      <c r="AP26" s="8"/>
    </row>
    <row r="27" spans="1:42" s="7" customFormat="1" ht="32" customHeight="1" x14ac:dyDescent="0.2">
      <c r="A27" s="287" t="s">
        <v>753</v>
      </c>
      <c r="B27" s="7" t="str">
        <f>BIBLE!E122</f>
        <v>PFA23</v>
      </c>
      <c r="C27" s="25" t="str">
        <f>Test_Bible!B208</f>
        <v>L'identité et la valeur sociale de l'autre parent passe par sa paternité ou sa maternité.</v>
      </c>
      <c r="D27" s="2340" t="s">
        <v>1867</v>
      </c>
      <c r="F27" s="2088">
        <f>Test_Bible!D208</f>
        <v>1</v>
      </c>
      <c r="G27" s="2089">
        <f>Test_Bible!P208</f>
        <v>4</v>
      </c>
      <c r="H27" s="1871">
        <f>G27</f>
        <v>4</v>
      </c>
      <c r="I27" s="1874" t="s">
        <v>1056</v>
      </c>
      <c r="J27" s="1874" t="s">
        <v>1054</v>
      </c>
      <c r="K27" s="1874" t="s">
        <v>1960</v>
      </c>
      <c r="L27" s="1874" t="s">
        <v>1958</v>
      </c>
      <c r="M27" s="2077">
        <v>10</v>
      </c>
      <c r="N27" s="8">
        <f>G27*F27</f>
        <v>4</v>
      </c>
      <c r="O27" s="8"/>
      <c r="P27" s="1911"/>
      <c r="Q27" s="505" t="str">
        <f>IF(OR(C27=" ",$P$30="")," ",IF(O$30&gt;=$P$38,IF(H27&gt;=7,U27," ")," "))</f>
        <v xml:space="preserve"> </v>
      </c>
      <c r="R27" s="505" t="str">
        <f>IF(OR(D27=" ",$P$30="")," ",IF(O$30&gt;=$P$38,IF(H27&gt;=7,V27," ")," "))</f>
        <v xml:space="preserve"> </v>
      </c>
      <c r="S27" s="2256"/>
      <c r="T27" s="25"/>
      <c r="U27" s="2322"/>
      <c r="V27" s="2322"/>
      <c r="W27" s="16"/>
      <c r="X27" s="2065">
        <v>0</v>
      </c>
      <c r="Y27" s="2066">
        <v>1</v>
      </c>
      <c r="Z27" s="7">
        <v>2</v>
      </c>
      <c r="AA27" s="7">
        <v>3</v>
      </c>
      <c r="AB27" s="594">
        <v>4</v>
      </c>
      <c r="AC27" s="594">
        <v>5</v>
      </c>
      <c r="AD27" s="7">
        <v>6</v>
      </c>
      <c r="AE27" s="2067">
        <v>10</v>
      </c>
      <c r="AO27" s="8"/>
      <c r="AP27" s="8"/>
    </row>
    <row r="28" spans="1:42" s="7" customFormat="1" ht="32" customHeight="1" x14ac:dyDescent="0.2">
      <c r="A28" s="1928"/>
      <c r="B28" s="7" t="str">
        <f>Test_Bible!A101</f>
        <v>H04a</v>
      </c>
      <c r="C28" s="25" t="str">
        <f>Test_Bible!B101</f>
        <v>Dans quelle mesure diriez-vous que leur relation était fusionnelle ?</v>
      </c>
      <c r="D28" s="2246"/>
      <c r="F28" s="2088">
        <f>Test_Bible!D101</f>
        <v>1</v>
      </c>
      <c r="G28" s="2089">
        <f>Test_Bible!P101</f>
        <v>1</v>
      </c>
      <c r="H28" s="1871">
        <f>G28</f>
        <v>1</v>
      </c>
      <c r="I28" s="1874" t="s">
        <v>1056</v>
      </c>
      <c r="J28" s="1874" t="s">
        <v>1054</v>
      </c>
      <c r="K28" s="1874" t="s">
        <v>1960</v>
      </c>
      <c r="L28" s="1874" t="s">
        <v>1958</v>
      </c>
      <c r="M28" s="2083">
        <v>10</v>
      </c>
      <c r="N28" s="8">
        <f>G28*F28</f>
        <v>1</v>
      </c>
      <c r="O28" s="1504"/>
      <c r="P28" s="1911"/>
      <c r="Q28" s="505" t="str">
        <f t="shared" ref="Q28:Q29" si="8">IF(OR(C28=" ",$P$30="")," ",IF(O$30&gt;=$P$38,IF(H28&gt;=7,U28," ")," "))</f>
        <v xml:space="preserve"> </v>
      </c>
      <c r="R28" s="505" t="str">
        <f t="shared" ref="R28:R29" si="9">IF(OR(D28=" ",$P$30="")," ",IF(O$30&gt;=$P$38,IF(H28&gt;=7,V28," ")," "))</f>
        <v xml:space="preserve"> </v>
      </c>
      <c r="S28" s="2256"/>
      <c r="T28" s="25"/>
      <c r="U28" s="2322"/>
      <c r="V28" s="2322"/>
      <c r="W28" s="16"/>
      <c r="X28" s="2065">
        <v>0</v>
      </c>
      <c r="Y28" s="2066">
        <v>1</v>
      </c>
      <c r="Z28" s="7">
        <v>2</v>
      </c>
      <c r="AA28" s="7">
        <v>3</v>
      </c>
      <c r="AB28" s="594">
        <v>4</v>
      </c>
      <c r="AC28" s="594">
        <v>5</v>
      </c>
      <c r="AD28" s="7">
        <v>6</v>
      </c>
      <c r="AE28" s="2067">
        <v>10</v>
      </c>
    </row>
    <row r="29" spans="1:42" s="7" customFormat="1" ht="32" customHeight="1" thickBot="1" x14ac:dyDescent="0.25">
      <c r="A29" s="1928"/>
      <c r="B29" s="7" t="str">
        <f>Test_Bible!A166</f>
        <v>PFA02</v>
      </c>
      <c r="C29" s="25" t="str">
        <f>Test_Bible!B166</f>
        <v>Selon vous, dans quelle mesure l'autre parent entretien une relation fusionnelle avec votre enfant ?</v>
      </c>
      <c r="D29" s="2246"/>
      <c r="F29" s="2088">
        <f>Test_Bible!D166</f>
        <v>1</v>
      </c>
      <c r="G29" s="2089">
        <f>Test_Bible!P166</f>
        <v>7</v>
      </c>
      <c r="H29" s="1871">
        <f>G29</f>
        <v>7</v>
      </c>
      <c r="I29" s="1874" t="s">
        <v>1056</v>
      </c>
      <c r="J29" s="1874" t="s">
        <v>1054</v>
      </c>
      <c r="K29" s="1874" t="s">
        <v>1960</v>
      </c>
      <c r="L29" s="1874" t="s">
        <v>1958</v>
      </c>
      <c r="M29" s="2083">
        <v>10</v>
      </c>
      <c r="N29" s="8">
        <f>G29*F29</f>
        <v>7</v>
      </c>
      <c r="O29" s="1504"/>
      <c r="P29" s="1911"/>
      <c r="Q29" s="505" t="str">
        <f t="shared" si="8"/>
        <v xml:space="preserve"> </v>
      </c>
      <c r="R29" s="505" t="str">
        <f t="shared" si="9"/>
        <v xml:space="preserve"> </v>
      </c>
      <c r="S29" s="2256"/>
      <c r="T29" s="25"/>
      <c r="U29" s="2322"/>
      <c r="V29" s="2322"/>
      <c r="W29" s="16"/>
      <c r="X29" s="2065">
        <v>0</v>
      </c>
      <c r="Y29" s="2066">
        <v>1</v>
      </c>
      <c r="Z29" s="7">
        <v>2</v>
      </c>
      <c r="AA29" s="7">
        <v>3</v>
      </c>
      <c r="AB29" s="594">
        <v>4</v>
      </c>
      <c r="AC29" s="594">
        <v>5</v>
      </c>
      <c r="AD29" s="7">
        <v>6</v>
      </c>
      <c r="AE29" s="2067">
        <v>10</v>
      </c>
    </row>
    <row r="30" spans="1:42" s="7" customFormat="1" ht="102" customHeight="1" x14ac:dyDescent="0.2">
      <c r="C30" s="25"/>
      <c r="D30" s="2079"/>
      <c r="E30" s="2079"/>
      <c r="F30" s="2079"/>
      <c r="G30" s="2050"/>
      <c r="H30" s="2081"/>
      <c r="I30" s="2050"/>
      <c r="J30" s="2050"/>
      <c r="K30" s="2050"/>
      <c r="L30" s="2050"/>
      <c r="M30" s="2050"/>
      <c r="N30" s="2052"/>
      <c r="O30" s="2054">
        <f>AVERAGE(N27:N29)</f>
        <v>4</v>
      </c>
      <c r="P30" s="1911" t="str">
        <f>IF(O30&gt;=AVERAGE($O$17,$O$21,$O$26,$O$30,$O$34),HLOOKUP(1,$S$11:$T$42,20),"")</f>
        <v/>
      </c>
      <c r="Q30" s="2427" t="str">
        <f>IF(P30="","",U30)</f>
        <v/>
      </c>
      <c r="R30" s="2427" t="str">
        <f>IF(P30="","",V30)</f>
        <v/>
      </c>
      <c r="S30" s="2257" t="s">
        <v>2386</v>
      </c>
      <c r="T30" s="2257" t="s">
        <v>2385</v>
      </c>
      <c r="U30" s="2322" t="s">
        <v>2393</v>
      </c>
      <c r="V30" s="2339"/>
      <c r="X30" s="2065"/>
      <c r="Y30" s="2066"/>
      <c r="Z30" s="8"/>
      <c r="AA30" s="8"/>
      <c r="AB30" s="2066"/>
      <c r="AC30" s="2066"/>
      <c r="AD30" s="8"/>
      <c r="AE30" s="2080"/>
    </row>
    <row r="31" spans="1:42" s="7" customFormat="1" ht="41" customHeight="1" x14ac:dyDescent="0.2">
      <c r="A31" s="1928"/>
      <c r="B31" s="21" t="str">
        <f>BIBLE!E95</f>
        <v>PFA09a</v>
      </c>
      <c r="C31" s="698" t="str">
        <f>Test_Bible!B181</f>
        <v>Est-ce que l'autre parent fait ou a déjà fait des menaces (claires ou voilées) de vous enlever les enfants ?</v>
      </c>
      <c r="D31" s="2559" t="s">
        <v>1866</v>
      </c>
      <c r="F31" s="2088">
        <f>Test_Bible!D181</f>
        <v>2</v>
      </c>
      <c r="G31" s="2089">
        <f>Test_Bible!P181</f>
        <v>4</v>
      </c>
      <c r="H31" s="1871">
        <f>G31</f>
        <v>4</v>
      </c>
      <c r="I31" s="557">
        <v>0</v>
      </c>
      <c r="J31" s="557">
        <v>1</v>
      </c>
      <c r="K31" s="557" t="s">
        <v>1054</v>
      </c>
      <c r="L31" s="557" t="s">
        <v>1057</v>
      </c>
      <c r="M31" s="2077">
        <v>10</v>
      </c>
      <c r="N31" s="8">
        <f>G31*F31</f>
        <v>8</v>
      </c>
      <c r="O31" s="8"/>
      <c r="P31" s="1911"/>
      <c r="Q31" s="505" t="str">
        <f>IF(OR(C31=" ",$P$34="")," ",IF(O$34&gt;=$P$38,IF(H31&gt;=7,U31," ")," "))</f>
        <v xml:space="preserve"> </v>
      </c>
      <c r="R31" s="505" t="str">
        <f>IF(OR(C31=" ",$P$34="")," ",IF(O$21&gt;=$P$38,IF(N31&gt;=O$17,V31," ")," "))</f>
        <v xml:space="preserve"> </v>
      </c>
      <c r="S31" s="2256"/>
      <c r="T31" s="25"/>
      <c r="U31" s="2322"/>
      <c r="V31" s="2322"/>
      <c r="W31" s="16"/>
      <c r="X31" s="2065">
        <v>0</v>
      </c>
      <c r="Y31" s="2066">
        <v>0</v>
      </c>
      <c r="Z31" s="7">
        <v>1</v>
      </c>
      <c r="AA31" s="7">
        <v>1</v>
      </c>
      <c r="AB31" s="594">
        <v>2</v>
      </c>
      <c r="AC31" s="594">
        <v>3</v>
      </c>
      <c r="AD31" s="7">
        <v>4</v>
      </c>
      <c r="AE31" s="2067">
        <v>10</v>
      </c>
    </row>
    <row r="32" spans="1:42" s="7" customFormat="1" ht="41" customHeight="1" x14ac:dyDescent="0.2">
      <c r="A32" s="287"/>
      <c r="B32" s="7" t="str">
        <f>BIBLE!E132</f>
        <v>PFA29</v>
      </c>
      <c r="C32" s="25" t="str">
        <f>Test_Bible!B221</f>
        <v>L'autre parent prend des décisions sans vous consulter.</v>
      </c>
      <c r="D32" s="2560"/>
      <c r="F32" s="2088">
        <f>Test_Bible!D221</f>
        <v>2</v>
      </c>
      <c r="G32" s="2089">
        <f>Test_Bible!P221</f>
        <v>7</v>
      </c>
      <c r="H32" s="1871">
        <f t="shared" ref="H32:H33" si="10">G32</f>
        <v>7</v>
      </c>
      <c r="I32" s="1874">
        <v>0</v>
      </c>
      <c r="J32" s="1874" t="s">
        <v>1034</v>
      </c>
      <c r="K32" s="1874" t="s">
        <v>1957</v>
      </c>
      <c r="L32" s="1874" t="s">
        <v>1959</v>
      </c>
      <c r="M32" s="2083">
        <v>10</v>
      </c>
      <c r="N32" s="8">
        <f>G32*F32</f>
        <v>14</v>
      </c>
      <c r="O32" s="8"/>
      <c r="P32" s="1911"/>
      <c r="Q32" s="505">
        <f t="shared" ref="Q32:Q33" si="11">IF(OR(C32=" ",$P$34="")," ",IF(O$34&gt;=$P$38,IF(H32&gt;=7,U32," ")," "))</f>
        <v>0</v>
      </c>
      <c r="R32" s="505" t="str">
        <f t="shared" ref="R32:R33" si="12">IF(OR(C32=" ",$P$34="")," ",IF(O$21&gt;=$P$38,IF(N32&gt;=O$17,V32," ")," "))</f>
        <v xml:space="preserve"> </v>
      </c>
      <c r="S32" s="2256"/>
      <c r="T32" s="25"/>
      <c r="U32" s="2322"/>
      <c r="V32" s="2322"/>
      <c r="W32" s="16"/>
      <c r="X32" s="2065">
        <v>0</v>
      </c>
      <c r="Y32" s="2066">
        <v>0</v>
      </c>
      <c r="Z32" s="7">
        <v>1</v>
      </c>
      <c r="AA32" s="7">
        <v>2</v>
      </c>
      <c r="AB32" s="594">
        <v>3</v>
      </c>
      <c r="AC32" s="594">
        <v>4</v>
      </c>
      <c r="AD32" s="7">
        <v>5</v>
      </c>
      <c r="AE32" s="2067">
        <v>10</v>
      </c>
      <c r="AO32" s="8"/>
      <c r="AP32" s="8"/>
    </row>
    <row r="33" spans="1:31" s="7" customFormat="1" ht="41" customHeight="1" x14ac:dyDescent="0.2">
      <c r="A33" s="1928"/>
      <c r="B33" s="7" t="str">
        <f>BIBLE!E136</f>
        <v>PFA30a</v>
      </c>
      <c r="C33" s="25" t="str">
        <f>Test_Bible!B235</f>
        <v>L’autre parent cherche à vous exclure de la vie de votre enfant.</v>
      </c>
      <c r="D33" s="2561"/>
      <c r="F33" s="2088">
        <f>Test_Bible!D235</f>
        <v>3</v>
      </c>
      <c r="G33" s="2089">
        <f>Test_Bible!P235</f>
        <v>7</v>
      </c>
      <c r="H33" s="1871">
        <f t="shared" si="10"/>
        <v>7</v>
      </c>
      <c r="I33" s="557">
        <v>0</v>
      </c>
      <c r="J33" s="557" t="s">
        <v>1034</v>
      </c>
      <c r="K33" s="557" t="s">
        <v>1957</v>
      </c>
      <c r="L33" s="557" t="s">
        <v>1959</v>
      </c>
      <c r="M33" s="2085">
        <v>10</v>
      </c>
      <c r="N33" s="8">
        <f>G33*F33</f>
        <v>21</v>
      </c>
      <c r="O33" s="8"/>
      <c r="P33" s="1911"/>
      <c r="Q33" s="505">
        <f t="shared" si="11"/>
        <v>0</v>
      </c>
      <c r="R33" s="505" t="str">
        <f t="shared" si="12"/>
        <v xml:space="preserve"> </v>
      </c>
      <c r="S33" s="2256"/>
      <c r="T33" s="25"/>
      <c r="U33" s="2322"/>
      <c r="V33" s="2322"/>
      <c r="W33" s="16"/>
      <c r="X33" s="2065">
        <v>0</v>
      </c>
      <c r="Y33" s="2066">
        <v>0</v>
      </c>
      <c r="Z33" s="7">
        <v>1</v>
      </c>
      <c r="AA33" s="7">
        <v>2</v>
      </c>
      <c r="AB33" s="594">
        <v>3</v>
      </c>
      <c r="AC33" s="594">
        <v>4</v>
      </c>
      <c r="AD33" s="7">
        <v>5</v>
      </c>
      <c r="AE33" s="2067">
        <v>10</v>
      </c>
    </row>
    <row r="34" spans="1:31" s="7" customFormat="1" ht="102" x14ac:dyDescent="0.2">
      <c r="C34" s="25"/>
      <c r="D34" s="2078"/>
      <c r="E34" s="2079"/>
      <c r="F34" s="2090"/>
      <c r="G34" s="2090"/>
      <c r="H34" s="2051"/>
      <c r="I34" s="2050"/>
      <c r="J34" s="2050"/>
      <c r="K34" s="2050"/>
      <c r="L34" s="2050"/>
      <c r="M34" s="2050"/>
      <c r="N34" s="2052"/>
      <c r="O34" s="2054">
        <f>AVERAGE(N31:N33)</f>
        <v>14.333333333333334</v>
      </c>
      <c r="P34" s="1911" t="str">
        <f>IF(O34&gt;=AVERAGE($O$17,$O$21,$O$26,$O$30,$O$34),HLOOKUP(1,$S$11:$T$42,24),"")</f>
        <v xml:space="preserve">L’intention de vous exclure des décisions concernant votre enfant a été exprimée par l’autre parent. </v>
      </c>
      <c r="Q34" s="2427" t="str">
        <f>IF(P34="","",U34)</f>
        <v xml:space="preserve">Lorem ipsum eligendi tempora qui nihil animi qui dolore consequatur  – DRAPEAU JAUNE PAR THÈME -- unde similique sed deserunt aperiam ad eligendi tempora! </v>
      </c>
      <c r="R34" s="2427">
        <f>IF(P34="","",V34)</f>
        <v>0</v>
      </c>
      <c r="S34" s="2257" t="s">
        <v>2382</v>
      </c>
      <c r="T34" s="2257" t="s">
        <v>2384</v>
      </c>
      <c r="U34" s="2322" t="s">
        <v>2393</v>
      </c>
      <c r="V34" s="2339"/>
      <c r="X34" s="2065"/>
      <c r="Y34" s="2066"/>
      <c r="AB34" s="594"/>
      <c r="AC34" s="594"/>
      <c r="AE34" s="2067"/>
    </row>
    <row r="35" spans="1:31" s="7" customFormat="1" ht="56" customHeight="1" x14ac:dyDescent="0.2">
      <c r="A35" s="1928"/>
      <c r="B35" s="21" t="str">
        <f>Test_Bible!A167</f>
        <v>PFA02a</v>
      </c>
      <c r="C35" s="698" t="str">
        <f>Test_Bible!B167</f>
        <v>Diriez-vous que la relation fusionnelle entre votre enfant et l'autre parent est consciente (intentionnelle) ou inconsciente ?</v>
      </c>
      <c r="D35" s="2247"/>
      <c r="F35" s="1287" t="str">
        <f>IF(C35="","",IF(Test_Bible!E167=1,"intentionnelle","inconsciente"))</f>
        <v>intentionnelle</v>
      </c>
      <c r="G35" s="2089">
        <f>Test_Bible!P167</f>
        <v>1</v>
      </c>
      <c r="H35" s="2047">
        <f>IF(OR(J35="V",K35="V"),10,0)</f>
        <v>10</v>
      </c>
      <c r="I35" s="1287"/>
      <c r="J35" s="1287"/>
      <c r="K35" s="1287" t="str">
        <f>IF($F35="intentionnelle","V","F")</f>
        <v>V</v>
      </c>
      <c r="L35" s="1287" t="str">
        <f>IF($F35="intentionnelle","V","F")</f>
        <v>V</v>
      </c>
      <c r="M35" s="2084">
        <v>10</v>
      </c>
      <c r="N35" s="1287">
        <f>M35</f>
        <v>10</v>
      </c>
      <c r="O35" s="2082"/>
      <c r="P35" s="1911"/>
      <c r="Q35" s="505">
        <f>IF(C35=" ","",IF(F35="intentionnelle",U35,""))</f>
        <v>0</v>
      </c>
      <c r="R35" s="505">
        <f>IF(C35=" ","",IF(F35="intentionnelle",V35,""))</f>
        <v>0</v>
      </c>
      <c r="S35" s="2256"/>
      <c r="T35" s="25"/>
      <c r="U35" s="2322"/>
      <c r="V35" s="2322"/>
      <c r="W35" s="16"/>
      <c r="X35" s="2065"/>
      <c r="Y35" s="2066"/>
      <c r="Z35" s="8"/>
      <c r="AA35" s="8"/>
      <c r="AB35" s="2066">
        <v>10</v>
      </c>
      <c r="AC35" s="2066">
        <v>10</v>
      </c>
      <c r="AD35" s="8">
        <v>10</v>
      </c>
      <c r="AE35" s="2080">
        <v>10</v>
      </c>
    </row>
    <row r="36" spans="1:31" s="7" customFormat="1" ht="83" customHeight="1" x14ac:dyDescent="0.2">
      <c r="A36" s="1928"/>
      <c r="B36" s="21" t="str">
        <f>BIBLE!E126</f>
        <v>PFA25a</v>
      </c>
      <c r="C36" s="698" t="str">
        <f>Test_Bible!B212</f>
        <v>Cette façon de s'adresser à vous devant votre enfant (prénom versus maman ou papa) est-elle habituelle ou est-ce nouveau depuis la séparation ?</v>
      </c>
      <c r="D36" s="2247"/>
      <c r="F36" s="1287" t="str">
        <f>IF(C36="","",IF(Test_Bible!P212=1,"normal","nouveau"))</f>
        <v>nouveau</v>
      </c>
      <c r="G36" s="2089">
        <f>Test_Bible!P212</f>
        <v>2</v>
      </c>
      <c r="H36" s="2047">
        <f>IF(OR(J36="V",K36="V"),10,0)</f>
        <v>10</v>
      </c>
      <c r="I36" s="1287"/>
      <c r="J36" s="1287"/>
      <c r="K36" s="1287" t="str">
        <f>IF($F36="nouveau","V","F")</f>
        <v>V</v>
      </c>
      <c r="L36" s="1287" t="str">
        <f>IF($F36="nouveau","V","F")</f>
        <v>V</v>
      </c>
      <c r="M36" s="2084">
        <v>10</v>
      </c>
      <c r="N36" s="1287">
        <f>M36</f>
        <v>10</v>
      </c>
      <c r="O36" s="21"/>
      <c r="P36" s="1911"/>
      <c r="Q36" s="505">
        <f>IF(C36=" ","",IF(F36="nouveau",U36,""))</f>
        <v>0</v>
      </c>
      <c r="R36" s="505" t="str">
        <f>IF(C36=" ","",IF(F36="nouveau",V36,""))</f>
        <v>Appeler le nouveau conjoint "papa ou maman" peut semer de la confusion chez l'enfant et | ou affecter la valeur symbolique du parent. Par exemple : aimer un NC comme si c'était son propre parent est une chose, mais le substituer en est un autre.</v>
      </c>
      <c r="S36" s="2256"/>
      <c r="T36" s="25"/>
      <c r="U36" s="2322"/>
      <c r="V36" s="2322" t="s">
        <v>2099</v>
      </c>
      <c r="W36" s="16"/>
      <c r="X36" s="2065"/>
      <c r="Y36" s="2066"/>
      <c r="Z36" s="8"/>
      <c r="AA36" s="8"/>
      <c r="AB36" s="2066">
        <v>10</v>
      </c>
      <c r="AC36" s="2066">
        <v>10</v>
      </c>
      <c r="AD36" s="8">
        <v>10</v>
      </c>
      <c r="AE36" s="2080">
        <v>10</v>
      </c>
    </row>
    <row r="37" spans="1:31" ht="23" customHeight="1" thickBot="1" x14ac:dyDescent="0.25">
      <c r="G37" s="1917"/>
      <c r="H37" s="1325">
        <f>SUM(H13:H35)</f>
        <v>88</v>
      </c>
      <c r="I37" s="2565" t="s">
        <v>1026</v>
      </c>
      <c r="J37" s="2566"/>
      <c r="K37" s="2566"/>
      <c r="L37" s="2566"/>
      <c r="M37" s="2567"/>
      <c r="U37" s="2074" t="s">
        <v>1997</v>
      </c>
      <c r="X37" s="1922"/>
      <c r="Y37" s="1824"/>
      <c r="Z37" s="5"/>
      <c r="AA37" s="5"/>
      <c r="AB37" s="1824"/>
      <c r="AC37" s="1824"/>
      <c r="AD37" s="5"/>
      <c r="AE37" s="1919"/>
    </row>
    <row r="38" spans="1:31" ht="23" customHeight="1" x14ac:dyDescent="0.2">
      <c r="H38" s="2164" t="str">
        <f>VLOOKUP(H37,AG14:AI30,3)</f>
        <v>Intention possible</v>
      </c>
      <c r="I38" s="1918" t="str">
        <f>AG14&amp;" - "&amp;AH14</f>
        <v>0 - 27</v>
      </c>
      <c r="J38" s="1388" t="str">
        <f>AG15&amp;" - "&amp;AH15</f>
        <v>28 - 63</v>
      </c>
      <c r="K38" s="1388" t="str">
        <f>AG16&amp;" - "&amp;AH16</f>
        <v>64 - 122</v>
      </c>
      <c r="L38" s="1388" t="str">
        <f>AG17&amp;" - "&amp;AH17</f>
        <v>123 - 180</v>
      </c>
      <c r="M38" s="1312" t="s">
        <v>1027</v>
      </c>
      <c r="O38" t="s">
        <v>2220</v>
      </c>
      <c r="P38" s="90">
        <f>AVERAGE(O17,O21,O26,O30,O34)</f>
        <v>10.483333333333333</v>
      </c>
      <c r="U38" s="2074"/>
      <c r="X38" s="1922"/>
      <c r="Y38" s="1824"/>
      <c r="Z38" s="5"/>
      <c r="AA38" s="5"/>
      <c r="AB38" s="1824"/>
      <c r="AC38" s="1824"/>
      <c r="AD38" s="5"/>
      <c r="AE38" s="1919"/>
    </row>
    <row r="39" spans="1:31" ht="23" customHeight="1" thickBot="1" x14ac:dyDescent="0.25">
      <c r="I39" s="1313"/>
      <c r="J39" s="64"/>
      <c r="K39" s="64"/>
      <c r="L39" s="64"/>
      <c r="M39" s="1314">
        <f>AE39</f>
        <v>180</v>
      </c>
      <c r="X39" s="1924">
        <f t="shared" ref="X39:AE39" si="13">SUM(X13:X35)</f>
        <v>0</v>
      </c>
      <c r="Y39" s="1925">
        <f t="shared" si="13"/>
        <v>27</v>
      </c>
      <c r="Z39" s="1920">
        <f t="shared" si="13"/>
        <v>42</v>
      </c>
      <c r="AA39" s="1920">
        <f t="shared" si="13"/>
        <v>63</v>
      </c>
      <c r="AB39" s="1925">
        <f t="shared" si="13"/>
        <v>90</v>
      </c>
      <c r="AC39" s="1925">
        <f t="shared" si="13"/>
        <v>122</v>
      </c>
      <c r="AD39" s="1920">
        <f t="shared" si="13"/>
        <v>133</v>
      </c>
      <c r="AE39" s="1921">
        <f t="shared" si="13"/>
        <v>180</v>
      </c>
    </row>
    <row r="40" spans="1:31" ht="24" customHeight="1" x14ac:dyDescent="0.2">
      <c r="R40" s="57"/>
      <c r="S40" s="1264" t="str">
        <f>S10</f>
        <v>Résultat : "Possible"</v>
      </c>
      <c r="T40" s="1264" t="str">
        <f>T10</f>
        <v>Résultat : "Probable"</v>
      </c>
    </row>
    <row r="41" spans="1:31" ht="108" customHeight="1" x14ac:dyDescent="0.2">
      <c r="I41" s="90"/>
      <c r="M41" s="7" t="s">
        <v>2197</v>
      </c>
      <c r="P41" s="1911" t="b">
        <f>'Contribution NC'!I41=IF(HLOOKUP(1,$S$11:$T$42,31),"",HLOOKUP(1,$S$11:$T$42,31))</f>
        <v>1</v>
      </c>
      <c r="Q41" s="2428"/>
      <c r="R41" s="2428"/>
      <c r="S41" s="2206"/>
      <c r="T41" s="2206"/>
    </row>
    <row r="42" spans="1:31" ht="105" customHeight="1" x14ac:dyDescent="0.2">
      <c r="I42" s="90"/>
      <c r="M42" t="s">
        <v>2019</v>
      </c>
      <c r="S42" s="2436" t="s">
        <v>2383</v>
      </c>
      <c r="T42" s="2437" t="s">
        <v>2383</v>
      </c>
    </row>
    <row r="43" spans="1:31" ht="105" customHeight="1" x14ac:dyDescent="0.2">
      <c r="I43" s="90"/>
      <c r="M43" s="90"/>
    </row>
    <row r="44" spans="1:31" x14ac:dyDescent="0.2">
      <c r="I44" s="90"/>
      <c r="M44" s="90"/>
    </row>
    <row r="45" spans="1:31" x14ac:dyDescent="0.2">
      <c r="I45" s="90"/>
      <c r="M45" s="90"/>
    </row>
    <row r="46" spans="1:31" x14ac:dyDescent="0.2">
      <c r="I46" s="90"/>
      <c r="M46" s="90"/>
    </row>
    <row r="47" spans="1:31" x14ac:dyDescent="0.2">
      <c r="I47" s="90"/>
      <c r="M47" s="90"/>
    </row>
    <row r="48" spans="1:31" x14ac:dyDescent="0.2">
      <c r="I48" s="90"/>
      <c r="M48" s="90"/>
    </row>
    <row r="49" spans="9:13" x14ac:dyDescent="0.2">
      <c r="I49" s="90"/>
      <c r="M49" s="90"/>
    </row>
    <row r="50" spans="9:13" x14ac:dyDescent="0.2">
      <c r="I50" s="90"/>
      <c r="M50" s="90"/>
    </row>
    <row r="51" spans="9:13" x14ac:dyDescent="0.2">
      <c r="I51" s="90"/>
      <c r="M51" s="90"/>
    </row>
    <row r="52" spans="9:13" x14ac:dyDescent="0.2">
      <c r="I52" s="90"/>
      <c r="M52" s="90"/>
    </row>
    <row r="53" spans="9:13" x14ac:dyDescent="0.2">
      <c r="I53" s="90"/>
      <c r="M53" s="90"/>
    </row>
    <row r="54" spans="9:13" x14ac:dyDescent="0.2">
      <c r="I54" s="90"/>
      <c r="M54" s="90"/>
    </row>
  </sheetData>
  <mergeCells count="13">
    <mergeCell ref="U8:V8"/>
    <mergeCell ref="D13:D16"/>
    <mergeCell ref="D18:D20"/>
    <mergeCell ref="D31:D33"/>
    <mergeCell ref="AD10:AE10"/>
    <mergeCell ref="I9:M9"/>
    <mergeCell ref="P8:R8"/>
    <mergeCell ref="I37:M37"/>
    <mergeCell ref="X10:Y10"/>
    <mergeCell ref="Z10:AA10"/>
    <mergeCell ref="AB10:AC10"/>
    <mergeCell ref="X9:AE9"/>
    <mergeCell ref="S9:T9"/>
  </mergeCells>
  <phoneticPr fontId="1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43E82-CEEA-0C47-9AE9-43D86AE4BBDA}">
  <dimension ref="A1:Y44"/>
  <sheetViews>
    <sheetView topLeftCell="L11" workbookViewId="0">
      <selection activeCell="I17" sqref="I17"/>
    </sheetView>
  </sheetViews>
  <sheetFormatPr baseColWidth="10" defaultRowHeight="16" x14ac:dyDescent="0.2"/>
  <cols>
    <col min="1" max="1" width="12.83203125" customWidth="1"/>
    <col min="2" max="2" width="40.83203125" customWidth="1"/>
    <col min="3" max="3" width="52.5" customWidth="1"/>
    <col min="4" max="4" width="10.1640625" customWidth="1"/>
    <col min="5" max="5" width="12" style="5" customWidth="1"/>
    <col min="6" max="6" width="12" customWidth="1"/>
    <col min="7" max="7" width="9.83203125" customWidth="1"/>
    <col min="8" max="8" width="21.83203125" customWidth="1"/>
    <col min="9" max="11" width="42.5" style="13" customWidth="1"/>
    <col min="12" max="12" width="13.5" customWidth="1"/>
    <col min="13" max="13" width="44.5" style="13" customWidth="1"/>
    <col min="14" max="14" width="44.6640625" style="13" customWidth="1"/>
    <col min="15" max="15" width="45.5" style="13" customWidth="1"/>
    <col min="16" max="16" width="63.6640625" customWidth="1"/>
    <col min="17" max="17" width="63.6640625" style="13" customWidth="1"/>
    <col min="18" max="18" width="23.5" customWidth="1"/>
    <col min="19" max="19" width="58.6640625" bestFit="1" customWidth="1"/>
    <col min="20" max="20" width="20.5" bestFit="1" customWidth="1"/>
    <col min="21" max="21" width="37.33203125" bestFit="1" customWidth="1"/>
    <col min="22" max="22" width="28" bestFit="1" customWidth="1"/>
    <col min="23" max="23" width="47" bestFit="1" customWidth="1"/>
    <col min="24" max="24" width="18" bestFit="1" customWidth="1"/>
    <col min="25" max="25" width="34" bestFit="1" customWidth="1"/>
    <col min="26" max="26" width="42" bestFit="1" customWidth="1"/>
    <col min="27" max="27" width="27" bestFit="1" customWidth="1"/>
    <col min="28" max="28" width="12.33203125" bestFit="1" customWidth="1"/>
  </cols>
  <sheetData>
    <row r="1" spans="1:25" ht="53" customHeight="1" x14ac:dyDescent="0.3">
      <c r="A1" s="1731" t="s">
        <v>1632</v>
      </c>
    </row>
    <row r="2" spans="1:25" ht="53" customHeight="1" x14ac:dyDescent="0.25">
      <c r="A2" s="410" t="s">
        <v>2003</v>
      </c>
      <c r="C2" s="2177" t="s">
        <v>2396</v>
      </c>
      <c r="D2" s="1460"/>
      <c r="E2" s="1461"/>
      <c r="F2" s="1460"/>
      <c r="G2" s="1460"/>
      <c r="H2" s="2442"/>
      <c r="I2" s="1766"/>
      <c r="J2" s="1766"/>
      <c r="K2" s="1766"/>
      <c r="L2" s="1766"/>
    </row>
    <row r="3" spans="1:25" ht="18" customHeight="1" x14ac:dyDescent="0.25">
      <c r="A3" s="410"/>
      <c r="C3" s="80"/>
      <c r="H3" s="1766"/>
      <c r="I3" s="1766"/>
      <c r="J3" s="1766"/>
      <c r="K3" s="1766"/>
      <c r="L3" s="1766"/>
    </row>
    <row r="4" spans="1:25" ht="23" customHeight="1" x14ac:dyDescent="0.3">
      <c r="A4" s="1731"/>
      <c r="D4" s="3" t="s">
        <v>1531</v>
      </c>
      <c r="E4" s="3"/>
      <c r="F4" s="3"/>
      <c r="G4" s="3"/>
      <c r="H4" s="3"/>
      <c r="I4" s="2163"/>
      <c r="J4" s="2163"/>
      <c r="K4" s="2163"/>
      <c r="L4" s="3"/>
      <c r="M4" s="2444"/>
      <c r="N4" s="2444"/>
      <c r="O4" s="2444"/>
      <c r="P4" s="5"/>
      <c r="Q4" s="706"/>
      <c r="R4" s="2580" t="s">
        <v>2101</v>
      </c>
      <c r="S4" s="2139" t="s">
        <v>2030</v>
      </c>
      <c r="T4" s="277"/>
      <c r="U4" s="2139"/>
      <c r="V4" s="2211"/>
      <c r="W4" s="2139"/>
      <c r="X4" s="2139"/>
      <c r="Y4" s="1766"/>
    </row>
    <row r="5" spans="1:25" ht="23" customHeight="1" x14ac:dyDescent="0.3">
      <c r="A5" s="1731"/>
      <c r="C5" s="4"/>
      <c r="D5" s="706" t="s">
        <v>1642</v>
      </c>
      <c r="E5" s="706" t="s">
        <v>1643</v>
      </c>
      <c r="F5" s="5"/>
      <c r="G5" s="5"/>
      <c r="H5" s="291" t="s">
        <v>1059</v>
      </c>
      <c r="I5" s="1916"/>
      <c r="J5" s="1916"/>
      <c r="K5" s="1916"/>
      <c r="L5" s="291"/>
      <c r="M5" s="839"/>
      <c r="N5" s="839"/>
      <c r="O5" s="839"/>
      <c r="P5" s="5"/>
      <c r="Q5" s="706"/>
      <c r="R5" s="2580"/>
      <c r="S5" s="2139"/>
      <c r="T5" s="277"/>
      <c r="U5" s="2212" t="s">
        <v>604</v>
      </c>
      <c r="V5" s="2212" t="s">
        <v>603</v>
      </c>
      <c r="W5" s="2212" t="s">
        <v>605</v>
      </c>
      <c r="X5" s="2139"/>
      <c r="Y5" s="1766"/>
    </row>
    <row r="6" spans="1:25" ht="23" customHeight="1" x14ac:dyDescent="0.3">
      <c r="A6" s="1731"/>
      <c r="C6" s="4"/>
      <c r="D6" s="706"/>
      <c r="E6" s="1812">
        <v>0.25</v>
      </c>
      <c r="F6" s="1812">
        <v>0.38</v>
      </c>
      <c r="G6" s="1812">
        <f>1-E6-F6</f>
        <v>0.37</v>
      </c>
      <c r="H6" s="291"/>
      <c r="I6" s="1916"/>
      <c r="J6" s="1916"/>
      <c r="K6" s="1916"/>
      <c r="L6" s="291"/>
      <c r="M6" s="839"/>
      <c r="N6" s="839"/>
      <c r="O6" s="839"/>
      <c r="P6" s="5"/>
      <c r="Q6" s="706"/>
      <c r="R6" s="2580"/>
      <c r="S6" s="2139"/>
      <c r="T6" s="277" t="s">
        <v>2029</v>
      </c>
      <c r="U6" s="2211">
        <f>'Modèle Calcul A-R + Sommaire'!AG28</f>
        <v>119</v>
      </c>
      <c r="V6" s="2211">
        <f>'Modèle Calcul A-R + Sommaire'!AH28</f>
        <v>42</v>
      </c>
      <c r="W6" s="2211">
        <f>'Modèle Calcul A-R + Sommaire'!AI28</f>
        <v>91</v>
      </c>
      <c r="X6" s="2139"/>
      <c r="Y6" s="1766"/>
    </row>
    <row r="7" spans="1:25" ht="23" customHeight="1" x14ac:dyDescent="0.3">
      <c r="A7" s="1731"/>
      <c r="C7" s="593" t="s">
        <v>281</v>
      </c>
      <c r="D7" s="706" t="s">
        <v>1969</v>
      </c>
      <c r="E7" s="706" t="s">
        <v>1970</v>
      </c>
      <c r="F7" s="5" t="s">
        <v>1971</v>
      </c>
      <c r="G7" s="5" t="s">
        <v>1972</v>
      </c>
      <c r="H7" s="1771"/>
      <c r="I7" s="2446"/>
      <c r="J7" s="2446"/>
      <c r="K7" s="2446"/>
      <c r="L7" s="1771"/>
      <c r="M7" s="706"/>
      <c r="N7" s="706"/>
      <c r="O7" s="706"/>
      <c r="P7" s="5"/>
      <c r="Q7" s="706"/>
      <c r="R7" s="2580"/>
      <c r="S7" s="2139"/>
      <c r="T7" s="2139" t="s">
        <v>1535</v>
      </c>
      <c r="U7" s="2211">
        <f>'Modèle Calcul A-R + Sommaire'!AG27</f>
        <v>95</v>
      </c>
      <c r="V7" s="2211">
        <f>'Modèle Calcul A-R + Sommaire'!AH27</f>
        <v>37</v>
      </c>
      <c r="W7" s="2211">
        <f>'Modèle Calcul A-R + Sommaire'!AI27</f>
        <v>100</v>
      </c>
      <c r="X7" s="2139"/>
    </row>
    <row r="8" spans="1:25" ht="23" customHeight="1" x14ac:dyDescent="0.3">
      <c r="A8" s="1731"/>
      <c r="B8" t="s">
        <v>1666</v>
      </c>
      <c r="C8" s="1686">
        <f>'Modèle Calcul A-R + Sommaire'!AG15</f>
        <v>119</v>
      </c>
      <c r="D8" s="90">
        <v>0</v>
      </c>
      <c r="E8" s="90">
        <f>'Modèle Calcul A-R + Sommaire'!AI40</f>
        <v>103</v>
      </c>
      <c r="F8" s="90">
        <f>'Modèle Calcul A-R + Sommaire'!AJ40</f>
        <v>134.75</v>
      </c>
      <c r="G8" s="90">
        <f>'Modèle Calcul A-R + Sommaire'!AK40</f>
        <v>170.94499999999999</v>
      </c>
      <c r="H8" s="90">
        <f>'Modèle Calcul A-R + Sommaire'!AL40</f>
        <v>230</v>
      </c>
      <c r="I8" s="2446">
        <f>IF(AND($C$8&gt;=103,$C$8&lt;135),1,IF(AND($C$8&gt;=135,$C$8&lt;171),2,IF($C$8&gt;=171,3,0)))</f>
        <v>1</v>
      </c>
      <c r="J8" s="2446"/>
      <c r="K8" s="2446"/>
      <c r="L8" s="1771"/>
      <c r="M8" s="706"/>
      <c r="N8" s="706"/>
      <c r="O8" s="706"/>
      <c r="P8" s="5"/>
      <c r="Q8" s="706"/>
    </row>
    <row r="9" spans="1:25" ht="33" customHeight="1" x14ac:dyDescent="0.3">
      <c r="A9" s="1731"/>
      <c r="C9" s="1899" t="s">
        <v>2257</v>
      </c>
      <c r="H9" s="1766"/>
      <c r="I9" s="1766"/>
      <c r="J9" s="1766"/>
      <c r="K9" s="1766"/>
      <c r="L9" s="1766"/>
    </row>
    <row r="10" spans="1:25" ht="50" customHeight="1" x14ac:dyDescent="0.25">
      <c r="A10" s="410" t="s">
        <v>2004</v>
      </c>
      <c r="C10" s="1460" t="s">
        <v>2100</v>
      </c>
      <c r="D10" s="1460"/>
      <c r="E10" s="1461"/>
      <c r="F10" s="2443"/>
      <c r="G10" s="2443"/>
      <c r="H10" s="2443"/>
      <c r="I10" s="2556" t="s">
        <v>2215</v>
      </c>
      <c r="J10" s="2556"/>
      <c r="K10" s="2557"/>
      <c r="L10" s="2166"/>
      <c r="P10" s="2581"/>
      <c r="Q10" s="2581"/>
    </row>
    <row r="11" spans="1:25" ht="21" customHeight="1" x14ac:dyDescent="0.25">
      <c r="E11"/>
      <c r="H11" s="291"/>
      <c r="I11" s="2202" t="s">
        <v>1743</v>
      </c>
      <c r="J11" s="2202" t="s">
        <v>1744</v>
      </c>
      <c r="K11" s="2202" t="s">
        <v>1849</v>
      </c>
      <c r="L11" s="2382"/>
      <c r="M11" s="2445" t="s">
        <v>2202</v>
      </c>
      <c r="N11" s="2445" t="s">
        <v>2202</v>
      </c>
      <c r="O11" s="2445" t="s">
        <v>2202</v>
      </c>
      <c r="P11" s="2564" t="s">
        <v>2200</v>
      </c>
      <c r="Q11" s="2564"/>
      <c r="R11" s="16"/>
      <c r="S11" s="2204"/>
      <c r="T11" s="5"/>
      <c r="U11" s="13"/>
    </row>
    <row r="12" spans="1:25" ht="62" customHeight="1" x14ac:dyDescent="0.2">
      <c r="B12" t="s">
        <v>18</v>
      </c>
      <c r="C12" s="8" t="s">
        <v>1572</v>
      </c>
      <c r="D12" s="2086" t="s">
        <v>1031</v>
      </c>
      <c r="E12" s="2087" t="s">
        <v>226</v>
      </c>
      <c r="F12" s="2201" t="s">
        <v>2045</v>
      </c>
      <c r="G12" s="2201" t="s">
        <v>2045</v>
      </c>
      <c r="H12" s="54" t="s">
        <v>2014</v>
      </c>
      <c r="I12" s="2286"/>
      <c r="J12" s="2286"/>
      <c r="K12" s="2286"/>
      <c r="L12" s="2286"/>
      <c r="M12" s="16" t="s">
        <v>1082</v>
      </c>
      <c r="N12" s="16" t="s">
        <v>26</v>
      </c>
      <c r="O12" s="16" t="s">
        <v>27</v>
      </c>
      <c r="P12" s="8" t="s">
        <v>1744</v>
      </c>
      <c r="Q12" s="16" t="s">
        <v>1849</v>
      </c>
      <c r="S12" s="16"/>
      <c r="T12" s="16"/>
      <c r="U12" s="13"/>
    </row>
    <row r="13" spans="1:25" ht="18" customHeight="1" x14ac:dyDescent="0.2">
      <c r="C13" s="8"/>
      <c r="D13" s="2086"/>
      <c r="E13" s="2087"/>
      <c r="F13" s="2201"/>
      <c r="G13" s="2201"/>
      <c r="H13" s="54"/>
      <c r="I13" s="2286"/>
      <c r="J13" s="2286"/>
      <c r="K13" s="2286"/>
      <c r="L13" s="2286"/>
      <c r="M13" s="16">
        <v>1</v>
      </c>
      <c r="N13" s="16">
        <v>2</v>
      </c>
      <c r="O13" s="16">
        <v>3</v>
      </c>
      <c r="P13" s="8"/>
      <c r="Q13" s="16"/>
      <c r="S13" s="16"/>
      <c r="T13" s="16"/>
      <c r="U13" s="13"/>
    </row>
    <row r="14" spans="1:25" ht="136" x14ac:dyDescent="0.2">
      <c r="C14" s="8"/>
      <c r="D14" s="2086"/>
      <c r="E14" s="2087"/>
      <c r="F14" s="2201"/>
      <c r="G14" s="2287" t="s">
        <v>1164</v>
      </c>
      <c r="H14" s="54"/>
      <c r="I14" s="2429" t="str">
        <f>IF($I$8,HLOOKUP($I$8,$M$13:$O$42,2),"")</f>
        <v xml:space="preserve">L’analyse des réponses obtenues aux questionnaires révèle un degré d’implication léger de la part du nouveau ou de la nouvelle conjoint·e dans la dynamique familiale. </v>
      </c>
      <c r="J14" s="25"/>
      <c r="K14" s="25"/>
      <c r="L14" s="25"/>
      <c r="M14" s="272" t="s">
        <v>2406</v>
      </c>
      <c r="N14" s="272" t="s">
        <v>2408</v>
      </c>
      <c r="O14" s="272" t="s">
        <v>2407</v>
      </c>
      <c r="P14" s="8"/>
      <c r="Q14" s="16"/>
      <c r="S14" s="16"/>
      <c r="T14" s="16"/>
      <c r="U14" s="13"/>
    </row>
    <row r="15" spans="1:25" s="82" customFormat="1" ht="34" customHeight="1" x14ac:dyDescent="0.2">
      <c r="A15" s="82" t="s">
        <v>198</v>
      </c>
      <c r="B15" s="82" t="str">
        <f>BIBLE!V217</f>
        <v>A:Alliance</v>
      </c>
      <c r="C15" s="1852" t="str">
        <f>BIBLE!R217</f>
        <v>Le nouveau ou nouvelle conjointe·e joue un rôle de confident</v>
      </c>
      <c r="D15" s="2189">
        <f>Test_Bible!D404</f>
        <v>0</v>
      </c>
      <c r="E15" s="2189">
        <f>Test_Bible!P404</f>
        <v>0</v>
      </c>
      <c r="F15" s="2190">
        <f>BIBLE!Q217</f>
        <v>0</v>
      </c>
      <c r="G15" s="2190">
        <f>MAX(F15:F16)</f>
        <v>0</v>
      </c>
      <c r="H15" s="2582" t="s">
        <v>2013</v>
      </c>
      <c r="I15" s="834"/>
      <c r="J15" s="2429" t="str">
        <f>IF(OR($I$17="",P15=""),"",P15)</f>
        <v/>
      </c>
      <c r="K15" s="2429" t="str">
        <f>IF(OR($I$17="",Q15=""),"",Q15)</f>
        <v/>
      </c>
      <c r="M15" s="834"/>
      <c r="N15" s="834"/>
      <c r="O15" s="834"/>
      <c r="P15" s="834"/>
      <c r="Q15" s="2190"/>
      <c r="R15" s="2190"/>
      <c r="S15" s="2190"/>
      <c r="T15" s="2190"/>
    </row>
    <row r="16" spans="1:25" s="82" customFormat="1" ht="68" x14ac:dyDescent="0.2">
      <c r="A16" s="2213" t="s">
        <v>199</v>
      </c>
      <c r="B16" s="2213" t="str">
        <f>BIBLE!V218</f>
        <v>A:Alliance</v>
      </c>
      <c r="C16" s="2214" t="str">
        <f>BIBLE!R218</f>
        <v>Le rôle de confident de la nouveau ou nouvelle conjointe·e n'est pas sain</v>
      </c>
      <c r="D16" s="2215">
        <f>Test_Bible!D405</f>
        <v>2</v>
      </c>
      <c r="E16" s="2215">
        <f>Test_Bible!P405</f>
        <v>0</v>
      </c>
      <c r="F16" s="2216">
        <f>BIBLE!Q218</f>
        <v>0</v>
      </c>
      <c r="G16" s="2216"/>
      <c r="H16" s="2583"/>
      <c r="I16" s="1852"/>
      <c r="J16" s="2429" t="str">
        <f>IF(OR($I$17="",P16=""),"",P16)</f>
        <v/>
      </c>
      <c r="K16" s="2429" t="str">
        <f>IF(OR($I$17="",Q16=""),"",Q16)</f>
        <v/>
      </c>
      <c r="L16" s="2189"/>
      <c r="M16" s="834"/>
      <c r="N16" s="834"/>
      <c r="O16" s="834"/>
      <c r="P16" s="834"/>
      <c r="Q16" s="2303" t="s">
        <v>2417</v>
      </c>
      <c r="R16" s="2190"/>
      <c r="S16" s="2190"/>
      <c r="T16" s="2190"/>
    </row>
    <row r="17" spans="1:20" s="82" customFormat="1" ht="68" customHeight="1" x14ac:dyDescent="0.2">
      <c r="A17" s="2191"/>
      <c r="B17" s="2191"/>
      <c r="C17" s="2192"/>
      <c r="D17" s="2192"/>
      <c r="E17" s="2192"/>
      <c r="F17" s="2193"/>
      <c r="G17" s="2190"/>
      <c r="H17" s="2188">
        <f>AVERAGE(G15:G16)</f>
        <v>0</v>
      </c>
      <c r="I17" s="2429" t="str">
        <f>IF(H17&gt;=$H$40,HLOOKUP($I$8,$M$13:$O$42,5),"")</f>
        <v/>
      </c>
      <c r="J17" s="2429" t="str">
        <f>IF(OR(I17="",P17=""),"",P17)</f>
        <v/>
      </c>
      <c r="K17" s="2429" t="str">
        <f>IF(OR(I17="",Q17=""),"",Q17)</f>
        <v/>
      </c>
      <c r="L17" s="2189"/>
      <c r="M17" s="2303" t="s">
        <v>2411</v>
      </c>
      <c r="N17" s="2303" t="s">
        <v>2413</v>
      </c>
      <c r="O17" s="2303" t="s">
        <v>2414</v>
      </c>
      <c r="P17" s="2347" t="s">
        <v>2393</v>
      </c>
      <c r="Q17" s="2190"/>
      <c r="R17" s="2190"/>
      <c r="S17" s="2190"/>
      <c r="T17" s="2190"/>
    </row>
    <row r="18" spans="1:20" s="82" customFormat="1" ht="49" customHeight="1" x14ac:dyDescent="0.2">
      <c r="A18" s="2430" t="s">
        <v>200</v>
      </c>
      <c r="B18" s="2194" t="str">
        <f>BIBLE!V87</f>
        <v>Altération ou dévoiement de la réalité</v>
      </c>
      <c r="C18" s="2195" t="str">
        <f>BIBLE!R87</f>
        <v>Laisse entendre à l'enfant qu'il n'est pas en sécurité avec l'autre parent</v>
      </c>
      <c r="D18" s="2196">
        <f>Test_Bible!D406</f>
        <v>2</v>
      </c>
      <c r="E18" s="2196">
        <f>Test_Bible!P406</f>
        <v>7</v>
      </c>
      <c r="F18" s="2197">
        <f>BIBLE!Q219</f>
        <v>14</v>
      </c>
      <c r="G18" s="2197">
        <f>F18</f>
        <v>14</v>
      </c>
      <c r="H18" s="2198" t="s">
        <v>2374</v>
      </c>
      <c r="I18" s="834"/>
      <c r="J18" s="2429" t="str">
        <f>IF(OR($I$19="",P18=""),"",P18)</f>
        <v/>
      </c>
      <c r="K18" s="2429" t="str">
        <f>IF(OR($I$19="",Q18=""),"",Q18)</f>
        <v xml:space="preserve">On laisse entendre à l'enfant qu'il n'est pas en sécurité  – DRAPEAU ROUGE * COMPORTEMENT TYPIQUEMENT AP – similique sed deserunt aperiam ad eligendi tempora! </v>
      </c>
      <c r="M18" s="834"/>
      <c r="N18" s="834"/>
      <c r="O18" s="834"/>
      <c r="P18" s="834"/>
      <c r="Q18" s="2303" t="s">
        <v>2416</v>
      </c>
      <c r="R18" s="2190"/>
      <c r="S18" s="2190"/>
      <c r="T18" s="2190"/>
    </row>
    <row r="19" spans="1:20" s="82" customFormat="1" ht="51" x14ac:dyDescent="0.2">
      <c r="A19" s="2194"/>
      <c r="B19" s="2194"/>
      <c r="C19" s="2195"/>
      <c r="D19" s="2196"/>
      <c r="E19" s="2196"/>
      <c r="F19" s="2197"/>
      <c r="G19" s="2190"/>
      <c r="H19" s="2188">
        <f>AVERAGE(G18)</f>
        <v>14</v>
      </c>
      <c r="I19" s="2429">
        <f>IF(H19&gt;=$H$40,HLOOKUP($I$8,$M$13:$O$42,7),"")</f>
        <v>0</v>
      </c>
      <c r="J19" s="2429" t="str">
        <f>IF(OR(I19="",P19=""),"",P19)</f>
        <v/>
      </c>
      <c r="K19" s="2429" t="str">
        <f>IF(OR(I19="",Q19=""),"",Q19)</f>
        <v/>
      </c>
      <c r="L19" s="2189"/>
      <c r="M19" s="2303"/>
      <c r="N19" s="2303" t="s">
        <v>2409</v>
      </c>
      <c r="O19" s="2303" t="s">
        <v>2409</v>
      </c>
      <c r="P19" s="834"/>
      <c r="Q19" s="2190"/>
      <c r="R19" s="2190"/>
      <c r="S19" s="2190"/>
      <c r="T19" s="2190"/>
    </row>
    <row r="20" spans="1:20" s="82" customFormat="1" ht="34" customHeight="1" x14ac:dyDescent="0.2">
      <c r="A20" s="2194" t="s">
        <v>201</v>
      </c>
      <c r="B20" s="2194" t="str">
        <f>BIBLE!V56</f>
        <v>Chantage affectif, manipulation</v>
      </c>
      <c r="C20" s="2199" t="str">
        <f>BIBLE!R56</f>
        <v>Ne salue pas l'autre arent lorsqu'il ou elle le croise</v>
      </c>
      <c r="D20" s="2194">
        <f>Test_Bible!D407</f>
        <v>1</v>
      </c>
      <c r="E20" s="2196">
        <f>Test_Bible!P407</f>
        <v>7</v>
      </c>
      <c r="F20" s="2197">
        <f>BIBLE!Q220</f>
        <v>7</v>
      </c>
      <c r="G20" s="2197">
        <f>F20</f>
        <v>7</v>
      </c>
      <c r="H20" s="2198" t="s">
        <v>2375</v>
      </c>
      <c r="I20" s="834"/>
      <c r="J20" s="2429" t="str">
        <f>IF(OR($I$21="non prioritaire",P20=""),"",P20)</f>
        <v/>
      </c>
      <c r="K20" s="2429" t="str">
        <f>IF(OR($I$21="non prioritaire",Q20=""),"",Q20)</f>
        <v/>
      </c>
      <c r="M20" s="834"/>
      <c r="N20" s="834"/>
      <c r="O20" s="834"/>
      <c r="P20" s="834"/>
      <c r="Q20" s="2190"/>
      <c r="R20" s="2190"/>
      <c r="S20" s="2190"/>
      <c r="T20" s="2190"/>
    </row>
    <row r="21" spans="1:20" s="82" customFormat="1" ht="102" x14ac:dyDescent="0.2">
      <c r="C21" s="834"/>
      <c r="F21" s="2190"/>
      <c r="G21" s="2190"/>
      <c r="H21" s="2188">
        <f>AVERAGE(G20)</f>
        <v>7</v>
      </c>
      <c r="I21" s="2429" t="str">
        <f>IF(H21&gt;=$H$40,HLOOKUP($I$8,$M$13:$O$42,9),"")</f>
        <v/>
      </c>
      <c r="J21" s="2429" t="str">
        <f>IF(OR(I21="",P21=""),"",P21)</f>
        <v/>
      </c>
      <c r="K21" s="2429" t="str">
        <f>IF(OR(I21="",Q21=""),"",Q21)</f>
        <v/>
      </c>
      <c r="L21" s="2189"/>
      <c r="M21" s="2303" t="s">
        <v>2412</v>
      </c>
      <c r="N21" s="2303" t="s">
        <v>2415</v>
      </c>
      <c r="O21" s="2303" t="s">
        <v>2420</v>
      </c>
      <c r="P21" s="2303" t="s">
        <v>2410</v>
      </c>
      <c r="Q21" s="2190"/>
      <c r="R21" s="2190"/>
      <c r="S21" s="2190"/>
      <c r="T21" s="2190"/>
    </row>
    <row r="22" spans="1:20" s="82" customFormat="1" ht="34" customHeight="1" x14ac:dyDescent="0.2">
      <c r="A22" s="82" t="s">
        <v>1102</v>
      </c>
      <c r="B22" s="82" t="str">
        <f>BIBLE!V222</f>
        <v>Dénigrement</v>
      </c>
      <c r="C22" s="1852" t="str">
        <f>BIBLE!R222</f>
        <v>Dénigre les compétences parentales de l'autre</v>
      </c>
      <c r="D22" s="2189">
        <f>Test_Bible!D414</f>
        <v>3</v>
      </c>
      <c r="E22" s="2189">
        <f>Test_Bible!P414</f>
        <v>4</v>
      </c>
      <c r="F22" s="2190">
        <f>BIBLE!Q222</f>
        <v>3</v>
      </c>
      <c r="G22" s="2190">
        <f>MAX(F22:F23)</f>
        <v>12</v>
      </c>
      <c r="H22" s="2559" t="s">
        <v>2015</v>
      </c>
      <c r="I22" s="1852"/>
      <c r="J22" s="2429" t="str">
        <f t="shared" ref="J22:K24" si="0">IF(OR($I$25="",P22=""),"",P22)</f>
        <v/>
      </c>
      <c r="K22" s="2429" t="str">
        <f t="shared" si="0"/>
        <v/>
      </c>
      <c r="L22" s="2189"/>
      <c r="M22" s="834"/>
      <c r="N22" s="834"/>
      <c r="O22" s="834"/>
      <c r="P22" s="834"/>
      <c r="Q22" s="2190"/>
      <c r="R22" s="2190"/>
      <c r="S22" s="2190"/>
      <c r="T22" s="2190"/>
    </row>
    <row r="23" spans="1:20" s="82" customFormat="1" ht="68" x14ac:dyDescent="0.2">
      <c r="A23" s="2431" t="s">
        <v>1162</v>
      </c>
      <c r="B23" s="2217" t="str">
        <f>BIBLE!V100</f>
        <v>Dénigrement</v>
      </c>
      <c r="C23" s="2218" t="str">
        <f>BIBLE!R100</f>
        <v>Dénigre l'autre parent devant l'enfant</v>
      </c>
      <c r="D23" s="2219">
        <f>Test_Bible!D415</f>
        <v>3</v>
      </c>
      <c r="E23" s="2219">
        <f>Test_Bible!P415</f>
        <v>1</v>
      </c>
      <c r="F23" s="2220">
        <f>BIBLE!Q223</f>
        <v>12</v>
      </c>
      <c r="G23" s="2220"/>
      <c r="H23" s="2560"/>
      <c r="I23" s="834"/>
      <c r="J23" s="2429" t="str">
        <f t="shared" si="0"/>
        <v/>
      </c>
      <c r="K23" s="2429" t="str">
        <f t="shared" si="0"/>
        <v/>
      </c>
      <c r="M23" s="834"/>
      <c r="N23" s="834"/>
      <c r="O23" s="834"/>
      <c r="P23" s="834"/>
      <c r="Q23" s="2303" t="s">
        <v>2397</v>
      </c>
      <c r="R23" s="2190"/>
      <c r="S23" s="2190"/>
      <c r="T23" s="2190"/>
    </row>
    <row r="24" spans="1:20" s="82" customFormat="1" ht="34" customHeight="1" x14ac:dyDescent="0.2">
      <c r="A24" s="2191" t="s">
        <v>1104</v>
      </c>
      <c r="B24" s="2191" t="str">
        <f>BIBLE!V104</f>
        <v>Dénigrement</v>
      </c>
      <c r="C24" s="2200" t="str">
        <f>BIBLE!R104</f>
        <v>Dénigre la nouvelle famille</v>
      </c>
      <c r="D24" s="2192">
        <f>Test_Bible!D416</f>
        <v>3</v>
      </c>
      <c r="E24" s="2192">
        <f>Test_Bible!P416</f>
        <v>0</v>
      </c>
      <c r="F24" s="2193">
        <f>BIBLE!Q224</f>
        <v>0</v>
      </c>
      <c r="G24" s="2193">
        <f>F24</f>
        <v>0</v>
      </c>
      <c r="H24" s="2561"/>
      <c r="I24" s="834"/>
      <c r="J24" s="2429" t="str">
        <f t="shared" si="0"/>
        <v/>
      </c>
      <c r="K24" s="2429" t="str">
        <f t="shared" si="0"/>
        <v/>
      </c>
      <c r="M24" s="834"/>
      <c r="N24" s="834"/>
      <c r="O24" s="834"/>
      <c r="P24" s="834"/>
      <c r="Q24" s="2190"/>
      <c r="R24" s="2190"/>
      <c r="S24" s="2190"/>
      <c r="T24" s="2190"/>
    </row>
    <row r="25" spans="1:20" s="82" customFormat="1" ht="85" x14ac:dyDescent="0.2">
      <c r="C25" s="1852"/>
      <c r="D25" s="2189"/>
      <c r="E25" s="2189"/>
      <c r="F25" s="2190"/>
      <c r="G25" s="2190"/>
      <c r="H25" s="2188">
        <f>AVERAGE(G22:G24)</f>
        <v>6</v>
      </c>
      <c r="I25" s="2429" t="str">
        <f>IF(H25&gt;=$H$40,HLOOKUP($I$8,$M$13:$O$42,13),"")</f>
        <v/>
      </c>
      <c r="J25" s="2429" t="str">
        <f>IF(OR(I25="",P25=""),"",P25)</f>
        <v/>
      </c>
      <c r="K25" s="2429" t="str">
        <f>IF(OR(I25="",Q25=""),"",Q25)</f>
        <v/>
      </c>
      <c r="L25" s="2189"/>
      <c r="M25" s="2303"/>
      <c r="N25" s="2303" t="s">
        <v>2418</v>
      </c>
      <c r="O25" s="2303" t="s">
        <v>2418</v>
      </c>
      <c r="P25" s="2347" t="s">
        <v>2393</v>
      </c>
      <c r="Q25" s="2190"/>
      <c r="R25" s="2190"/>
      <c r="S25" s="2190"/>
      <c r="T25" s="2190"/>
    </row>
    <row r="26" spans="1:20" s="82" customFormat="1" ht="34" customHeight="1" x14ac:dyDescent="0.2">
      <c r="A26" s="2432" t="s">
        <v>203</v>
      </c>
      <c r="B26" s="82" t="str">
        <f>BIBLE!V107</f>
        <v>Interférence temps et/ou communication</v>
      </c>
      <c r="C26" s="1852" t="str">
        <f>BIBLE!R107</f>
        <v>Change les horaires sans consulter l'autre parent</v>
      </c>
      <c r="D26" s="2189">
        <f>Test_Bible!D417</f>
        <v>2</v>
      </c>
      <c r="E26" s="2189">
        <f>Test_Bible!P417</f>
        <v>4</v>
      </c>
      <c r="F26" s="2190">
        <f>BIBLE!Q225</f>
        <v>8</v>
      </c>
      <c r="G26" s="2190">
        <f>MAX(F26:F27)</f>
        <v>8</v>
      </c>
      <c r="H26" s="2584" t="s">
        <v>2016</v>
      </c>
      <c r="I26" s="834"/>
      <c r="J26" s="2429" t="str">
        <f>IF(OR($I$33="",P26=""),"",P26)</f>
        <v/>
      </c>
      <c r="K26" s="2429" t="str">
        <f>IF(OR($I$33="",Q26=""),"",Q26)</f>
        <v/>
      </c>
      <c r="M26" s="834"/>
      <c r="N26" s="834"/>
      <c r="O26" s="834"/>
      <c r="P26" s="834"/>
      <c r="Q26" s="2190"/>
      <c r="R26" s="2190"/>
      <c r="S26" s="2190"/>
      <c r="T26" s="2190"/>
    </row>
    <row r="27" spans="1:20" s="82" customFormat="1" ht="102" x14ac:dyDescent="0.2">
      <c r="A27" s="2431" t="s">
        <v>1103</v>
      </c>
      <c r="B27" s="2217" t="str">
        <f>BIBLE!V110</f>
        <v>Interférence temps et/ou communication</v>
      </c>
      <c r="C27" s="2218" t="str">
        <f>BIBLE!R110</f>
        <v>Organisme des activités irrésistibles lors du temps de garde de l'autre</v>
      </c>
      <c r="D27" s="2219">
        <f>Test_Bible!D418</f>
        <v>2</v>
      </c>
      <c r="E27" s="2219">
        <f>Test_Bible!P418</f>
        <v>4</v>
      </c>
      <c r="F27" s="2220">
        <f>BIBLE!Q226</f>
        <v>8</v>
      </c>
      <c r="G27" s="2220"/>
      <c r="H27" s="2585"/>
      <c r="I27" s="834"/>
      <c r="J27" s="2429" t="str">
        <f t="shared" ref="J27:J32" si="1">IF(OR($I$33="",P27=""),"",P27)</f>
        <v/>
      </c>
      <c r="K27" s="2429" t="str">
        <f t="shared" ref="K27:K31" si="2">IF(OR($I$33="",Q27=""),"",Q27)</f>
        <v>Lorem ipsum – DRAPEAU ROUGE PAR COMPORTEMENT TYPIQUEMENT AP – similique sed deserunt aperiam ad eligendi tempora! Est voluptas omnis cum expedita autem aut quod illum qui consequatur cumque qui incidunt doloribus.</v>
      </c>
      <c r="M27" s="834"/>
      <c r="N27" s="834"/>
      <c r="O27" s="834"/>
      <c r="P27" s="834"/>
      <c r="Q27" s="2303" t="s">
        <v>2397</v>
      </c>
      <c r="R27" s="2190"/>
      <c r="S27" s="2190"/>
      <c r="T27" s="2190"/>
    </row>
    <row r="28" spans="1:20" s="82" customFormat="1" ht="34" customHeight="1" x14ac:dyDescent="0.2">
      <c r="A28" s="82" t="s">
        <v>204</v>
      </c>
      <c r="B28" s="82" t="str">
        <f>BIBLE!V111</f>
        <v>Interférence temps et/ou communication</v>
      </c>
      <c r="C28" s="1852" t="str">
        <f>BIBLE!R111</f>
        <v>Se présente à la sortie des classes sur le temps de garde de l'autre</v>
      </c>
      <c r="D28" s="2189">
        <f>Test_Bible!D419</f>
        <v>2</v>
      </c>
      <c r="E28" s="2189">
        <f>Test_Bible!P419</f>
        <v>2</v>
      </c>
      <c r="F28" s="2190">
        <f>BIBLE!Q227</f>
        <v>4</v>
      </c>
      <c r="G28" s="2190">
        <f>F28</f>
        <v>4</v>
      </c>
      <c r="H28" s="2585"/>
      <c r="I28" s="834"/>
      <c r="J28" s="2429" t="str">
        <f t="shared" si="1"/>
        <v/>
      </c>
      <c r="K28" s="2429" t="str">
        <f t="shared" si="2"/>
        <v/>
      </c>
      <c r="M28" s="834"/>
      <c r="N28" s="834"/>
      <c r="O28" s="834"/>
      <c r="P28" s="834"/>
      <c r="Q28" s="2190"/>
      <c r="R28" s="2190"/>
      <c r="S28" s="2190"/>
      <c r="T28" s="2190"/>
    </row>
    <row r="29" spans="1:20" s="82" customFormat="1" ht="34" customHeight="1" x14ac:dyDescent="0.2">
      <c r="A29" s="2432" t="s">
        <v>205</v>
      </c>
      <c r="B29" s="82" t="str">
        <f>BIBLE!V116</f>
        <v>Interférence temps et/ou communication</v>
      </c>
      <c r="C29" s="1852" t="str">
        <f>BIBLE!R116</f>
        <v xml:space="preserve">Contrôle les conversations téléphoniques </v>
      </c>
      <c r="D29" s="2189">
        <f>Test_Bible!D420</f>
        <v>2</v>
      </c>
      <c r="E29" s="2189">
        <f>Test_Bible!P420</f>
        <v>7</v>
      </c>
      <c r="F29" s="2190">
        <f>BIBLE!Q228</f>
        <v>14</v>
      </c>
      <c r="G29" s="2190">
        <f t="shared" ref="G29:G31" si="3">F29</f>
        <v>14</v>
      </c>
      <c r="H29" s="2585"/>
      <c r="I29" s="834"/>
      <c r="J29" s="2429" t="str">
        <f t="shared" si="1"/>
        <v/>
      </c>
      <c r="K29" s="2429" t="str">
        <f t="shared" si="2"/>
        <v/>
      </c>
      <c r="M29" s="834"/>
      <c r="N29" s="834"/>
      <c r="O29" s="834"/>
      <c r="P29" s="834"/>
      <c r="Q29" s="2190"/>
      <c r="R29" s="2190"/>
      <c r="S29" s="2190"/>
      <c r="T29" s="2190"/>
    </row>
    <row r="30" spans="1:20" s="82" customFormat="1" ht="34" customHeight="1" x14ac:dyDescent="0.2">
      <c r="A30" s="2432" t="s">
        <v>206</v>
      </c>
      <c r="B30" s="82" t="str">
        <f>BIBLE!V229</f>
        <v>Interférence temps et/ou communication</v>
      </c>
      <c r="C30" s="1852" t="str">
        <f>BIBLE!R229</f>
        <v>S'impose responsable de la logistique familiale</v>
      </c>
      <c r="D30" s="2189">
        <f>Test_Bible!D421</f>
        <v>2</v>
      </c>
      <c r="E30" s="2189">
        <f>Test_Bible!P421</f>
        <v>7</v>
      </c>
      <c r="F30" s="2190">
        <f>BIBLE!Q229</f>
        <v>14</v>
      </c>
      <c r="G30" s="2190">
        <f t="shared" si="3"/>
        <v>14</v>
      </c>
      <c r="H30" s="2585"/>
      <c r="I30" s="834"/>
      <c r="J30" s="2429" t="str">
        <f t="shared" si="1"/>
        <v/>
      </c>
      <c r="K30" s="2429" t="str">
        <f t="shared" si="2"/>
        <v/>
      </c>
      <c r="M30" s="834"/>
      <c r="N30" s="834"/>
      <c r="O30" s="834"/>
      <c r="P30" s="834"/>
      <c r="Q30" s="2190"/>
      <c r="R30" s="2190"/>
      <c r="S30" s="2190"/>
      <c r="T30" s="2190"/>
    </row>
    <row r="31" spans="1:20" s="82" customFormat="1" ht="34" customHeight="1" x14ac:dyDescent="0.2">
      <c r="A31" s="82" t="s">
        <v>493</v>
      </c>
      <c r="B31" s="82" t="str">
        <f>BIBLE!V61</f>
        <v>Interférence temps et/ou communication</v>
      </c>
      <c r="C31" s="834" t="str">
        <f>BIBLE!R61</f>
        <v>Communique fréquemment avec l'enfant lorsqu'il est chez l'autre</v>
      </c>
      <c r="D31" s="2189">
        <f>Test_Bible!D422</f>
        <v>3</v>
      </c>
      <c r="E31" s="2189">
        <f>Test_Bible!P422</f>
        <v>7</v>
      </c>
      <c r="F31" s="2190">
        <f>BIBLE!Q230</f>
        <v>0</v>
      </c>
      <c r="G31" s="2190">
        <f t="shared" si="3"/>
        <v>0</v>
      </c>
      <c r="H31" s="2585"/>
      <c r="I31" s="834"/>
      <c r="J31" s="2429" t="str">
        <f t="shared" si="1"/>
        <v/>
      </c>
      <c r="K31" s="2429" t="str">
        <f t="shared" si="2"/>
        <v/>
      </c>
      <c r="M31" s="834"/>
      <c r="N31" s="834"/>
      <c r="O31" s="834"/>
      <c r="P31" s="834"/>
      <c r="Q31" s="2190"/>
      <c r="R31" s="2190"/>
      <c r="S31" s="2190"/>
      <c r="T31" s="2190"/>
    </row>
    <row r="32" spans="1:20" s="82" customFormat="1" ht="34" customHeight="1" x14ac:dyDescent="0.2">
      <c r="A32" s="2433" t="s">
        <v>207</v>
      </c>
      <c r="B32" s="2191" t="str">
        <f>BIBLE!V114</f>
        <v>Interférence temps et/ou communication</v>
      </c>
      <c r="C32" s="2200" t="str">
        <f>BIBLE!R114</f>
        <v>Bloque les communications de l'entourage de l'enfant à l'autre parent</v>
      </c>
      <c r="D32" s="2192">
        <f>Test_Bible!D423</f>
        <v>3</v>
      </c>
      <c r="E32" s="2192">
        <f>Test_Bible!P423</f>
        <v>7</v>
      </c>
      <c r="F32" s="2193">
        <f>BIBLE!Q231</f>
        <v>21</v>
      </c>
      <c r="G32" s="2193">
        <f>F32</f>
        <v>21</v>
      </c>
      <c r="H32" s="2586"/>
      <c r="I32" s="1852"/>
      <c r="J32" s="2429" t="str">
        <f t="shared" si="1"/>
        <v/>
      </c>
      <c r="K32" s="2429" t="str">
        <f>IF(OR($I$33="",Q32=""),"",Q32)</f>
        <v/>
      </c>
      <c r="L32" s="2189"/>
      <c r="M32" s="834"/>
      <c r="N32" s="834"/>
      <c r="O32" s="834"/>
      <c r="P32" s="834"/>
      <c r="Q32" s="2190"/>
      <c r="R32" s="2190"/>
      <c r="S32" s="2190"/>
      <c r="T32" s="2190"/>
    </row>
    <row r="33" spans="1:20" s="82" customFormat="1" ht="102" x14ac:dyDescent="0.2">
      <c r="C33" s="1852"/>
      <c r="D33" s="2189"/>
      <c r="E33" s="2189"/>
      <c r="F33" s="2190"/>
      <c r="G33" s="2190"/>
      <c r="H33" s="2188">
        <f>AVERAGE(G26:G32)</f>
        <v>10.166666666666666</v>
      </c>
      <c r="I33" s="2429" t="str">
        <f>IF(H33&gt;=$H$40,HLOOKUP($I$8,$M$13:$O$42,21),"")</f>
        <v>Les responsabilités du nouveau ou nouvelle conjoint·e au niveau de la logistique familiale pourraient semer une confusion chez l'enfant quant au rôle de chaque parent et de l'autorité parentale.</v>
      </c>
      <c r="J33" s="2429" t="str">
        <f>IF(OR(I33="",P33=""),"",P33)</f>
        <v xml:space="preserve">Lorem ipsum eligendi tempora qui nihil animi qui dolore consequatur  – DRAPEAU JAUNE PAR THÈME -- unde similique sed deserunt aperiam ad eligendi tempora! </v>
      </c>
      <c r="K33" s="2429" t="str">
        <f>IF(OR(I33="",Q33=""),"",Q33)</f>
        <v/>
      </c>
      <c r="L33" s="2189"/>
      <c r="M33" s="2347" t="s">
        <v>2421</v>
      </c>
      <c r="N33" s="2347" t="s">
        <v>2422</v>
      </c>
      <c r="O33" s="2347" t="s">
        <v>2424</v>
      </c>
      <c r="P33" s="2347" t="s">
        <v>2393</v>
      </c>
      <c r="Q33" s="2190"/>
      <c r="R33" s="2190"/>
      <c r="S33" s="2190"/>
      <c r="T33" s="2190"/>
    </row>
    <row r="34" spans="1:20" s="82" customFormat="1" ht="34" customHeight="1" x14ac:dyDescent="0.2">
      <c r="A34" s="2432" t="s">
        <v>208</v>
      </c>
      <c r="B34" s="82" t="str">
        <f>BIBLE!V232</f>
        <v>Interférence lien affectif ou symbolique</v>
      </c>
      <c r="C34" s="1852" t="str">
        <f>BIBLE!R232</f>
        <v>Le nouveau ou la nouvelle conjoint·e demande de se faire appeler maman ou papa</v>
      </c>
      <c r="D34" s="2189">
        <f>Test_Bible!D424</f>
        <v>2</v>
      </c>
      <c r="E34" s="2189">
        <f>Test_Bible!P424</f>
        <v>2</v>
      </c>
      <c r="F34" s="2190">
        <f>BIBLE!Q232</f>
        <v>4</v>
      </c>
      <c r="G34" s="2190">
        <f>F34</f>
        <v>4</v>
      </c>
      <c r="H34" s="2559" t="s">
        <v>2017</v>
      </c>
      <c r="I34" s="834"/>
      <c r="J34" s="2429" t="str">
        <f>IF(OR($I$36="",P34=""),"",P34)</f>
        <v/>
      </c>
      <c r="K34" s="2429" t="str">
        <f>IF(OR($I$36="",Q34=""),"",Q34)</f>
        <v/>
      </c>
      <c r="M34" s="834"/>
      <c r="N34" s="834"/>
      <c r="O34" s="834"/>
      <c r="P34" s="834"/>
      <c r="Q34" s="2190"/>
      <c r="R34" s="2190"/>
      <c r="S34" s="2190"/>
      <c r="T34" s="2190"/>
    </row>
    <row r="35" spans="1:20" s="82" customFormat="1" ht="102" x14ac:dyDescent="0.2">
      <c r="A35" s="2434" t="s">
        <v>209</v>
      </c>
      <c r="B35" s="2191" t="str">
        <f>BIBLE!V233</f>
        <v>Interférence lien affectif ou symbolique</v>
      </c>
      <c r="C35" s="2200" t="str">
        <f>BIBLE!R233</f>
        <v>Le nouveau ou la nouvelle conjoint·e fragilise la relation de l'enfant avec l'autre parent</v>
      </c>
      <c r="D35" s="2192">
        <f>Test_Bible!D425</f>
        <v>2</v>
      </c>
      <c r="E35" s="2192">
        <f>Test_Bible!P425</f>
        <v>10</v>
      </c>
      <c r="F35" s="2193">
        <f>BIBLE!Q233</f>
        <v>20</v>
      </c>
      <c r="G35" s="2193">
        <f>F35</f>
        <v>20</v>
      </c>
      <c r="H35" s="2561"/>
      <c r="I35" s="1852"/>
      <c r="J35" s="2429" t="str">
        <f>IF(OR($I$36="",P35=""),"",P35)</f>
        <v/>
      </c>
      <c r="K35" s="2429" t="str">
        <f>IF(OR($I$36="",Q35=""),"",Q35)</f>
        <v>Lorem ipsum – DRAPEAU ROUGE PAR COMPORTEMENT TYPIQUEMENT AP – similique sed deserunt aperiam ad eligendi tempora! Est voluptas omnis cum expedita autem aut quod illum qui consequatur cumque qui incidunt doloribus.</v>
      </c>
      <c r="L35" s="2189"/>
      <c r="M35" s="834"/>
      <c r="N35" s="834"/>
      <c r="O35" s="834"/>
      <c r="P35" s="834"/>
      <c r="Q35" s="2303" t="s">
        <v>2397</v>
      </c>
      <c r="R35" s="2190"/>
      <c r="S35" s="2190"/>
      <c r="T35" s="2190"/>
    </row>
    <row r="36" spans="1:20" s="82" customFormat="1" ht="82" customHeight="1" x14ac:dyDescent="0.2">
      <c r="C36" s="1852"/>
      <c r="D36" s="2189"/>
      <c r="E36" s="2189"/>
      <c r="F36" s="2190"/>
      <c r="G36" s="2190"/>
      <c r="H36" s="2188">
        <f>AVERAGE(G34:G35)</f>
        <v>12</v>
      </c>
      <c r="I36" s="2429" t="str">
        <f>IF(H36&gt;=$H$40,HLOOKUP($I$8,$M$13:$O$42,24),"")</f>
        <v xml:space="preserve">L'affection du NC pour votre enfant et la relation es responsabilités peut créer un peu confusion chez l'enfant et/ou affecter la valeur symbolique. </v>
      </c>
      <c r="J36" s="2429" t="str">
        <f>IF(OR(I36="",P36=""),"",P36)</f>
        <v xml:space="preserve">Lorem ipsum eligendi tempora – DRAPEAU JAUNE PAR THÈME qui nihil animi qui dolore consequatur unde similique sed deserunt aperiam ad eligendi tempora! </v>
      </c>
      <c r="K36" s="2429" t="str">
        <f>IF(OR(I36="",Q36=""),"",Q36)</f>
        <v/>
      </c>
      <c r="L36" s="2189"/>
      <c r="M36" s="2303" t="s">
        <v>2419</v>
      </c>
      <c r="N36" s="2303" t="s">
        <v>2423</v>
      </c>
      <c r="O36" s="2303" t="s">
        <v>2425</v>
      </c>
      <c r="P36" s="2347" t="s">
        <v>2400</v>
      </c>
      <c r="Q36" s="2190"/>
      <c r="R36" s="2190"/>
      <c r="S36" s="2190"/>
      <c r="T36" s="2190"/>
    </row>
    <row r="37" spans="1:20" s="82" customFormat="1" ht="38" customHeight="1" x14ac:dyDescent="0.2">
      <c r="A37" s="2191" t="s">
        <v>210</v>
      </c>
      <c r="B37" s="2191" t="str">
        <f>BIBLE!V98</f>
        <v>Rôle actif de l'enfant</v>
      </c>
      <c r="C37" s="2200" t="str">
        <f>BIBLE!R98</f>
        <v xml:space="preserve">Demande à ce que les désirs de l'enfant soient respectés </v>
      </c>
      <c r="D37" s="2192">
        <f>Test_Bible!D426</f>
        <v>3</v>
      </c>
      <c r="E37" s="2192">
        <f>Test_Bible!P426</f>
        <v>7</v>
      </c>
      <c r="F37" s="2193">
        <f>BIBLE!Q234</f>
        <v>21</v>
      </c>
      <c r="G37" s="2193">
        <f>F37</f>
        <v>21</v>
      </c>
      <c r="H37" s="37" t="s">
        <v>2018</v>
      </c>
      <c r="I37" s="834"/>
      <c r="J37" s="2429" t="str">
        <f>IF(OR($I$38="",P37=""),"",P37)</f>
        <v/>
      </c>
      <c r="K37" s="2429" t="str">
        <f>IF(OR($I$38="",Q37=""),"",Q37)</f>
        <v/>
      </c>
      <c r="M37" s="834"/>
      <c r="N37" s="834"/>
      <c r="O37" s="834"/>
      <c r="P37" s="834"/>
      <c r="Q37" s="2190"/>
      <c r="R37" s="2190"/>
      <c r="S37" s="2190"/>
      <c r="T37" s="2190"/>
    </row>
    <row r="38" spans="1:20" ht="98" customHeight="1" x14ac:dyDescent="0.2">
      <c r="H38" s="1068">
        <f>AVERAGE(G37)</f>
        <v>21</v>
      </c>
      <c r="I38" s="2429">
        <f>IF(H38&gt;=$H$40,HLOOKUP($I$8,$M$13:$O$42,26),"")</f>
        <v>0</v>
      </c>
      <c r="J38" s="2429" t="str">
        <f>IF(OR(I38="",P38=""),"",P38)</f>
        <v/>
      </c>
      <c r="K38" s="2429" t="str">
        <f>IF(OR(I38="",Q38=""),"",Q38)</f>
        <v/>
      </c>
      <c r="L38" s="2189"/>
      <c r="M38" s="2347"/>
      <c r="N38" s="2347" t="s">
        <v>2399</v>
      </c>
      <c r="O38" s="2347" t="s">
        <v>2399</v>
      </c>
      <c r="P38" s="1461"/>
      <c r="Q38" s="2190"/>
      <c r="R38" s="90"/>
      <c r="S38" s="90"/>
      <c r="T38" s="90"/>
    </row>
    <row r="39" spans="1:20" ht="21" customHeight="1" x14ac:dyDescent="0.2">
      <c r="E39" t="s">
        <v>306</v>
      </c>
      <c r="F39" s="6"/>
      <c r="G39" s="6">
        <f>SUM(G15:G37)</f>
        <v>139</v>
      </c>
      <c r="H39" s="5"/>
    </row>
    <row r="40" spans="1:20" ht="24" customHeight="1" x14ac:dyDescent="0.25">
      <c r="D40" s="2186"/>
      <c r="E40" s="55"/>
      <c r="G40" t="s">
        <v>2220</v>
      </c>
      <c r="H40" s="2187">
        <f>AVERAGE(H17,H19,H21,H25,H33,H36,H38)</f>
        <v>10.023809523809522</v>
      </c>
      <c r="J40" s="1817"/>
      <c r="K40" s="1817"/>
      <c r="L40" s="57" t="s">
        <v>2020</v>
      </c>
      <c r="M40" s="32"/>
      <c r="N40" s="32"/>
      <c r="O40" s="32"/>
      <c r="P40" s="32"/>
    </row>
    <row r="41" spans="1:20" ht="114" customHeight="1" x14ac:dyDescent="0.2">
      <c r="H41" t="s">
        <v>2026</v>
      </c>
      <c r="I41" s="2429" t="str">
        <f>IF(HLOOKUP($I$8,$M$13:$O$42,29)="","",HLOOKUP($I$8,$M$13:$O$42,29))</f>
        <v/>
      </c>
      <c r="J41" s="25"/>
      <c r="K41" s="25"/>
      <c r="L41" s="7" t="s">
        <v>2197</v>
      </c>
      <c r="M41" s="1838"/>
      <c r="N41" s="1838"/>
      <c r="O41" s="1838"/>
    </row>
    <row r="42" spans="1:20" ht="104" customHeight="1" x14ac:dyDescent="0.2">
      <c r="J42" s="32"/>
      <c r="K42" s="32"/>
      <c r="L42" s="2341" t="s">
        <v>2019</v>
      </c>
      <c r="M42" s="2407" t="s">
        <v>2401</v>
      </c>
      <c r="N42" s="2407" t="s">
        <v>2401</v>
      </c>
      <c r="O42" s="2407" t="s">
        <v>2401</v>
      </c>
    </row>
    <row r="43" spans="1:20" ht="104" customHeight="1" x14ac:dyDescent="0.2"/>
    <row r="44" spans="1:20" ht="104" customHeight="1" x14ac:dyDescent="0.2"/>
  </sheetData>
  <sortState xmlns:xlrd2="http://schemas.microsoft.com/office/spreadsheetml/2017/richdata2" ref="A26:F32">
    <sortCondition ref="A26:A32"/>
  </sortState>
  <mergeCells count="8">
    <mergeCell ref="R4:R7"/>
    <mergeCell ref="H34:H35"/>
    <mergeCell ref="P10:Q10"/>
    <mergeCell ref="H15:H16"/>
    <mergeCell ref="H22:H24"/>
    <mergeCell ref="H26:H32"/>
    <mergeCell ref="P11:Q11"/>
    <mergeCell ref="I10:K1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DA780"/>
  <sheetViews>
    <sheetView topLeftCell="BK31" zoomScale="130" zoomScaleNormal="130" workbookViewId="0">
      <selection activeCell="BL17" sqref="BL17"/>
    </sheetView>
  </sheetViews>
  <sheetFormatPr baseColWidth="10" defaultColWidth="11" defaultRowHeight="26" x14ac:dyDescent="0.3"/>
  <cols>
    <col min="1" max="1" width="9.5" customWidth="1"/>
    <col min="2" max="2" width="15" style="1672" customWidth="1"/>
    <col min="3" max="3" width="12" customWidth="1"/>
    <col min="4" max="4" width="59" customWidth="1"/>
    <col min="5" max="5" width="30.33203125" customWidth="1"/>
    <col min="6" max="6" width="13.83203125" customWidth="1"/>
    <col min="7" max="7" width="13" customWidth="1"/>
    <col min="8" max="8" width="11.5" customWidth="1"/>
    <col min="9" max="9" width="14.1640625" bestFit="1" customWidth="1"/>
    <col min="10" max="10" width="16.1640625" customWidth="1"/>
    <col min="11" max="11" width="33.5" customWidth="1"/>
    <col min="12" max="15" width="33.5" hidden="1" customWidth="1"/>
    <col min="16" max="16" width="33.5" customWidth="1"/>
    <col min="17" max="20" width="16.1640625" customWidth="1"/>
    <col min="21" max="21" width="10.6640625" customWidth="1"/>
    <col min="22" max="23" width="5.83203125" customWidth="1"/>
    <col min="24" max="24" width="10" customWidth="1"/>
    <col min="25" max="25" width="5.83203125" customWidth="1"/>
    <col min="26" max="26" width="7.6640625" customWidth="1"/>
    <col min="27" max="27" width="7" customWidth="1"/>
    <col min="28" max="28" width="8.6640625" customWidth="1"/>
    <col min="29" max="32" width="15" hidden="1" customWidth="1"/>
    <col min="33" max="33" width="15" customWidth="1"/>
    <col min="34" max="35" width="12.6640625" customWidth="1"/>
    <col min="36" max="40" width="12.6640625" style="5" customWidth="1"/>
    <col min="41" max="41" width="11.33203125" style="5" customWidth="1"/>
    <col min="42" max="42" width="6.83203125" customWidth="1"/>
    <col min="43" max="43" width="32.83203125" customWidth="1"/>
    <col min="44" max="44" width="6.83203125" customWidth="1"/>
    <col min="45" max="45" width="12.1640625" customWidth="1"/>
    <col min="46" max="46" width="65.5" customWidth="1"/>
    <col min="47" max="47" width="37.6640625" customWidth="1"/>
    <col min="48" max="48" width="103" bestFit="1" customWidth="1"/>
    <col min="49" max="49" width="32.6640625" customWidth="1"/>
    <col min="50" max="50" width="47" customWidth="1"/>
    <col min="51" max="51" width="53.5" customWidth="1"/>
    <col min="52" max="52" width="56" customWidth="1"/>
    <col min="53" max="53" width="10.5" customWidth="1"/>
    <col min="54" max="54" width="9.33203125" customWidth="1"/>
    <col min="55" max="55" width="75" customWidth="1"/>
    <col min="56" max="56" width="10.5" customWidth="1"/>
    <col min="57" max="57" width="13" customWidth="1"/>
    <col min="58" max="58" width="60.1640625" customWidth="1"/>
    <col min="59" max="59" width="10.5" customWidth="1"/>
    <col min="60" max="60" width="12.6640625" customWidth="1"/>
    <col min="61" max="61" width="80.83203125" customWidth="1"/>
    <col min="62" max="62" width="5.6640625" customWidth="1"/>
    <col min="63" max="63" width="19.33203125" customWidth="1"/>
    <col min="64" max="64" width="64.5" style="25" customWidth="1"/>
    <col min="65" max="65" width="69.1640625" style="25" customWidth="1"/>
    <col min="66" max="66" width="51.6640625" style="13" customWidth="1"/>
    <col min="67" max="67" width="78.33203125" style="25" customWidth="1"/>
    <col min="68" max="78" width="17.6640625" customWidth="1"/>
    <col min="79" max="79" width="17.33203125" bestFit="1" customWidth="1"/>
    <col min="80" max="80" width="94.1640625" bestFit="1" customWidth="1"/>
    <col min="81" max="81" width="11" hidden="1" customWidth="1"/>
    <col min="82" max="82" width="34" bestFit="1" customWidth="1"/>
    <col min="83" max="83" width="6" hidden="1" customWidth="1"/>
    <col min="84" max="84" width="0" hidden="1" customWidth="1"/>
    <col min="85" max="85" width="30" bestFit="1" customWidth="1"/>
    <col min="86" max="86" width="16" bestFit="1" customWidth="1"/>
    <col min="87" max="87" width="0" hidden="1" customWidth="1"/>
    <col min="88" max="88" width="42.1640625" bestFit="1" customWidth="1"/>
    <col min="89" max="89" width="255.83203125" bestFit="1" customWidth="1"/>
    <col min="90" max="94" width="0" hidden="1" customWidth="1"/>
  </cols>
  <sheetData>
    <row r="1" spans="3:95" x14ac:dyDescent="0.3">
      <c r="BA1" s="34" t="s">
        <v>2003</v>
      </c>
      <c r="BB1" s="49"/>
      <c r="BC1" s="49"/>
      <c r="BD1" s="2294" t="s">
        <v>2404</v>
      </c>
      <c r="BE1" s="1460"/>
      <c r="BF1" s="1460"/>
      <c r="BG1" s="1460"/>
      <c r="BH1" s="1460"/>
      <c r="BI1" s="1460"/>
    </row>
    <row r="2" spans="3:95" x14ac:dyDescent="0.3">
      <c r="BA2" s="49"/>
      <c r="BB2" s="49"/>
      <c r="BC2" s="49"/>
      <c r="BD2" s="49"/>
    </row>
    <row r="3" spans="3:95" x14ac:dyDescent="0.3">
      <c r="BA3" s="34" t="s">
        <v>2108</v>
      </c>
      <c r="BB3" s="49"/>
      <c r="BC3" s="49"/>
      <c r="BD3" s="2447" t="s">
        <v>2405</v>
      </c>
      <c r="BE3" s="1460"/>
      <c r="BF3" s="1460"/>
      <c r="BG3" s="1460"/>
      <c r="BH3" s="1460"/>
      <c r="BI3" s="1460"/>
    </row>
    <row r="5" spans="3:95" x14ac:dyDescent="0.3">
      <c r="BL5" s="2449" t="s">
        <v>2021</v>
      </c>
      <c r="BM5" s="2449"/>
    </row>
    <row r="6" spans="3:95" x14ac:dyDescent="0.3">
      <c r="C6" s="526"/>
      <c r="D6" s="36"/>
      <c r="E6" s="36"/>
      <c r="F6" s="36"/>
      <c r="G6" s="36"/>
      <c r="H6" s="36"/>
      <c r="I6" s="36"/>
      <c r="J6" s="36"/>
      <c r="K6" s="36"/>
      <c r="L6" s="36"/>
      <c r="M6" s="36"/>
      <c r="N6" s="49"/>
      <c r="AY6" s="288" t="s">
        <v>1975</v>
      </c>
      <c r="BC6" s="49" t="s">
        <v>261</v>
      </c>
      <c r="BF6" s="49"/>
      <c r="BI6" s="49"/>
      <c r="BL6" s="2588" t="s">
        <v>2403</v>
      </c>
      <c r="BM6" s="2588"/>
      <c r="BN6" s="2588"/>
      <c r="BO6" s="2588"/>
      <c r="BP6" s="2181"/>
      <c r="BQ6" s="2181"/>
      <c r="BR6" s="2181"/>
      <c r="BS6" s="2181"/>
      <c r="BT6" s="2181"/>
      <c r="BU6" s="2181"/>
      <c r="BV6" s="2181"/>
      <c r="BW6" s="2181"/>
      <c r="BX6" s="2181"/>
      <c r="BY6" s="2181"/>
      <c r="BZ6" s="2181"/>
      <c r="CA6" s="73"/>
      <c r="CB6" s="49" t="s">
        <v>276</v>
      </c>
      <c r="CL6" s="474"/>
      <c r="CM6" s="474"/>
      <c r="CN6" s="474"/>
      <c r="CO6" s="474"/>
      <c r="CP6" s="475"/>
      <c r="CQ6" s="475"/>
    </row>
    <row r="7" spans="3:95" ht="119" x14ac:dyDescent="0.3">
      <c r="C7" s="526" t="s">
        <v>455</v>
      </c>
      <c r="D7" s="36"/>
      <c r="E7" s="36"/>
      <c r="F7" s="36"/>
      <c r="G7" s="36"/>
      <c r="H7" s="36"/>
      <c r="I7" s="36"/>
      <c r="J7" s="36"/>
      <c r="K7" s="36"/>
      <c r="L7" s="36"/>
      <c r="M7" s="36"/>
      <c r="N7" s="49"/>
      <c r="AV7" s="595" t="s">
        <v>1587</v>
      </c>
      <c r="AX7" s="595"/>
      <c r="BC7" s="49"/>
      <c r="BF7" s="49"/>
      <c r="BI7" s="49"/>
      <c r="BK7" s="80" t="s">
        <v>2109</v>
      </c>
      <c r="BL7" s="25" t="s">
        <v>2493</v>
      </c>
      <c r="BP7" s="595"/>
      <c r="BQ7" s="595"/>
      <c r="BR7" s="595"/>
      <c r="BS7" s="595"/>
      <c r="BT7" s="595"/>
      <c r="BU7" s="595"/>
      <c r="BV7" s="595"/>
      <c r="BW7" s="595"/>
      <c r="BX7" s="595"/>
      <c r="BY7" s="595"/>
      <c r="BZ7" s="595"/>
      <c r="CA7" s="73"/>
      <c r="CB7" s="49"/>
      <c r="CL7" s="474"/>
      <c r="CM7" s="474"/>
      <c r="CN7" s="474"/>
      <c r="CO7" s="474"/>
      <c r="CP7" s="475"/>
      <c r="CQ7" s="475"/>
    </row>
    <row r="8" spans="3:95" ht="40" x14ac:dyDescent="0.3">
      <c r="C8" s="36" t="s">
        <v>454</v>
      </c>
      <c r="D8" s="36"/>
      <c r="E8" s="36"/>
      <c r="F8" s="36"/>
      <c r="G8" s="36"/>
      <c r="H8" s="36"/>
      <c r="I8" s="36"/>
      <c r="J8" s="36"/>
      <c r="K8" s="36"/>
      <c r="L8" s="36"/>
      <c r="M8" s="36"/>
      <c r="N8" s="49"/>
      <c r="AT8" s="1" t="s">
        <v>604</v>
      </c>
      <c r="AU8" s="1" t="s">
        <v>603</v>
      </c>
      <c r="AV8" s="1" t="s">
        <v>605</v>
      </c>
      <c r="AX8" s="1"/>
      <c r="AY8" t="s">
        <v>355</v>
      </c>
      <c r="AZ8" s="1" t="s">
        <v>1973</v>
      </c>
      <c r="BB8" s="736" t="s">
        <v>670</v>
      </c>
      <c r="BC8" s="445" t="s">
        <v>262</v>
      </c>
      <c r="BD8" s="7"/>
      <c r="BE8" s="736" t="s">
        <v>670</v>
      </c>
      <c r="BF8" s="735" t="s">
        <v>1974</v>
      </c>
      <c r="BG8" s="734"/>
      <c r="BH8" s="736" t="s">
        <v>670</v>
      </c>
      <c r="BI8" s="433" t="s">
        <v>264</v>
      </c>
      <c r="BL8" s="2587" t="s">
        <v>604</v>
      </c>
      <c r="BM8" s="2587"/>
      <c r="BN8" s="2587"/>
      <c r="BO8" s="2587"/>
      <c r="BP8" s="2182"/>
      <c r="BQ8" s="2182"/>
      <c r="BR8" s="2182"/>
      <c r="BS8" s="2182"/>
      <c r="BT8" s="2182"/>
      <c r="BU8" s="2182"/>
      <c r="BV8" s="2182"/>
      <c r="BW8" s="2182"/>
      <c r="BX8" s="2182"/>
      <c r="BY8" s="2182"/>
      <c r="BZ8" s="2182"/>
      <c r="CA8" s="74"/>
      <c r="CL8" s="474"/>
      <c r="CM8" s="474"/>
      <c r="CN8" s="474"/>
      <c r="CO8" s="474"/>
      <c r="CP8" s="475"/>
      <c r="CQ8" s="475"/>
    </row>
    <row r="9" spans="3:95" x14ac:dyDescent="0.3">
      <c r="C9" s="36"/>
      <c r="D9" s="36"/>
      <c r="E9" s="36"/>
      <c r="F9" s="36"/>
      <c r="G9" s="36"/>
      <c r="H9" s="36"/>
      <c r="I9" s="36"/>
      <c r="J9" s="36"/>
      <c r="K9" s="36"/>
      <c r="L9" s="36"/>
      <c r="M9" s="36"/>
      <c r="N9" s="49"/>
      <c r="AT9" s="1"/>
      <c r="AU9" s="1"/>
      <c r="AV9" s="1"/>
      <c r="AX9" s="1"/>
      <c r="AZ9" s="1"/>
      <c r="BB9" s="736"/>
      <c r="BC9" s="445"/>
      <c r="BD9" s="7"/>
      <c r="BE9" s="736"/>
      <c r="BF9" s="735"/>
      <c r="BG9" s="734"/>
      <c r="BH9" s="736"/>
      <c r="BI9" s="2160"/>
      <c r="BL9" s="2450" t="s">
        <v>1857</v>
      </c>
      <c r="BM9" s="2450" t="s">
        <v>673</v>
      </c>
      <c r="BN9" s="2435" t="s">
        <v>1744</v>
      </c>
      <c r="BO9" s="2450" t="s">
        <v>1849</v>
      </c>
      <c r="BP9" s="409"/>
      <c r="BQ9" s="409"/>
      <c r="BR9" s="409"/>
      <c r="BS9" s="409"/>
      <c r="BT9" s="409"/>
      <c r="BU9" s="409"/>
      <c r="BV9" s="409"/>
      <c r="BW9" s="409"/>
      <c r="BX9" s="409"/>
      <c r="BY9" s="409"/>
      <c r="BZ9" s="409"/>
      <c r="CA9" s="74"/>
      <c r="CL9" s="474"/>
      <c r="CM9" s="474"/>
      <c r="CN9" s="474"/>
      <c r="CO9" s="474"/>
      <c r="CP9" s="475"/>
      <c r="CQ9" s="475"/>
    </row>
    <row r="10" spans="3:95" ht="51" x14ac:dyDescent="0.3">
      <c r="C10" s="36" t="s">
        <v>397</v>
      </c>
      <c r="M10" s="36"/>
      <c r="N10" s="49"/>
      <c r="AS10" s="2" t="str">
        <f>D49</f>
        <v>Demande de garder des secrets</v>
      </c>
      <c r="AT10">
        <f>AD66</f>
        <v>1</v>
      </c>
      <c r="AU10">
        <f>AE66</f>
        <v>1</v>
      </c>
      <c r="AV10">
        <f>AF66</f>
        <v>0</v>
      </c>
      <c r="AX10" s="90">
        <v>1</v>
      </c>
      <c r="AY10" s="739" t="str">
        <f>D49</f>
        <v>Demande de garder des secrets</v>
      </c>
      <c r="AZ10" s="2151">
        <f>H61</f>
        <v>21</v>
      </c>
      <c r="BA10" s="738" t="s">
        <v>265</v>
      </c>
      <c r="BB10" s="740" t="str">
        <f>IF(BC10&lt;&gt;"",AZ10,"")</f>
        <v/>
      </c>
      <c r="BC10" s="739" t="str">
        <f>IF(L61="","",L61)</f>
        <v/>
      </c>
      <c r="BD10" s="740" t="s">
        <v>266</v>
      </c>
      <c r="BE10" s="740" t="str">
        <f>IF(BF10&lt;&gt;"",AZ10,"")</f>
        <v/>
      </c>
      <c r="BF10" s="739" t="str">
        <f>IF(N61="","",N61)</f>
        <v/>
      </c>
      <c r="BG10" s="741" t="s">
        <v>267</v>
      </c>
      <c r="BH10" s="740">
        <f>IF(BI10&lt;&gt;"",AZ10,"")</f>
        <v>21</v>
      </c>
      <c r="BI10" s="739" t="str">
        <f>IF(M61="","",M61)</f>
        <v>Bien que le parent demande de garder des secrets | cacher des choses l'enfant ne semble pas s'ingérer</v>
      </c>
      <c r="BL10" s="2451" t="s">
        <v>2494</v>
      </c>
      <c r="BM10" s="2455"/>
      <c r="BN10" s="2448"/>
      <c r="BO10" s="2347" t="s">
        <v>2437</v>
      </c>
      <c r="CA10" s="15"/>
      <c r="CB10" s="81" t="s">
        <v>277</v>
      </c>
      <c r="CL10" s="474"/>
      <c r="CM10" s="474"/>
      <c r="CN10" s="474"/>
      <c r="CO10" s="474"/>
      <c r="CP10" s="475"/>
      <c r="CQ10" s="475"/>
    </row>
    <row r="11" spans="3:95" ht="51" x14ac:dyDescent="0.3">
      <c r="C11" s="36"/>
      <c r="D11" s="36" t="s">
        <v>398</v>
      </c>
      <c r="E11" s="527"/>
      <c r="N11" s="49"/>
      <c r="AS11" s="2" t="str">
        <f>D69</f>
        <v>Abandon de la famille</v>
      </c>
      <c r="AT11">
        <f>AD86</f>
        <v>1</v>
      </c>
      <c r="AU11">
        <f>AE86</f>
        <v>1</v>
      </c>
      <c r="AV11">
        <f>AF86</f>
        <v>0</v>
      </c>
      <c r="AX11" s="5">
        <v>2</v>
      </c>
      <c r="AY11" s="743" t="str">
        <f>D69</f>
        <v>Abandon de la famille</v>
      </c>
      <c r="AZ11" s="2152">
        <f>H81</f>
        <v>8</v>
      </c>
      <c r="BA11" s="742" t="s">
        <v>265</v>
      </c>
      <c r="BB11" s="740" t="str">
        <f t="shared" ref="BB11:BB35" si="0">IF(BC11&lt;&gt;"",AZ11,"")</f>
        <v/>
      </c>
      <c r="BC11" s="743" t="str">
        <f>IF(L81="","",L81)</f>
        <v/>
      </c>
      <c r="BD11" s="744" t="s">
        <v>266</v>
      </c>
      <c r="BE11" s="740" t="str">
        <f t="shared" ref="BE11:BE39" si="1">IF(BF11&lt;&gt;"",AZ11,"")</f>
        <v/>
      </c>
      <c r="BF11" s="743" t="str">
        <f>IF(N81="","",N81)</f>
        <v/>
      </c>
      <c r="BG11" s="745" t="s">
        <v>267</v>
      </c>
      <c r="BH11" s="740">
        <f t="shared" ref="BH11:BH35" si="2">IF(BI11&lt;&gt;"",AZ11,"")</f>
        <v>8</v>
      </c>
      <c r="BI11" s="743" t="str">
        <f>IF(M81="","",M81)</f>
        <v>Bien que le parent laisse entendre que vous ne l'aimez pas l'enfant ne semble pas s'ingérer</v>
      </c>
      <c r="BJ11" s="55"/>
      <c r="BL11" s="2452" t="s">
        <v>2478</v>
      </c>
      <c r="BM11" s="2456" t="s">
        <v>2429</v>
      </c>
      <c r="BN11" s="2448"/>
      <c r="BO11" s="2459"/>
      <c r="CA11" s="76" t="s">
        <v>278</v>
      </c>
      <c r="CB11" s="72" t="s">
        <v>279</v>
      </c>
      <c r="CC11" s="10"/>
      <c r="CD11" s="72" t="s">
        <v>280</v>
      </c>
      <c r="CE11" s="10"/>
      <c r="CF11" s="10"/>
      <c r="CG11" s="72" t="s">
        <v>281</v>
      </c>
      <c r="CH11" s="10"/>
    </row>
    <row r="12" spans="3:95" ht="40" x14ac:dyDescent="0.3">
      <c r="C12" s="36"/>
      <c r="D12" s="36"/>
      <c r="E12" s="36"/>
      <c r="F12" s="36" t="s">
        <v>399</v>
      </c>
      <c r="G12" s="36"/>
      <c r="H12" s="36"/>
      <c r="I12" s="36"/>
      <c r="J12" s="36"/>
      <c r="K12" s="36"/>
      <c r="L12" s="36" t="s">
        <v>407</v>
      </c>
      <c r="M12" s="36" t="s">
        <v>450</v>
      </c>
      <c r="N12" s="49"/>
      <c r="X12" s="36" t="s">
        <v>1968</v>
      </c>
      <c r="Y12" s="2149"/>
      <c r="Z12" s="36"/>
      <c r="AA12" s="36"/>
      <c r="AB12" s="36"/>
      <c r="AC12" s="36"/>
      <c r="AD12" s="36"/>
      <c r="AE12" s="36"/>
      <c r="AF12" s="36"/>
      <c r="AG12" s="36"/>
      <c r="AH12" s="36"/>
      <c r="AI12" s="36"/>
      <c r="AJ12" s="732"/>
      <c r="AK12" s="732"/>
      <c r="AL12" s="732"/>
      <c r="AM12" s="732"/>
      <c r="AN12" s="732"/>
      <c r="AO12" s="732"/>
      <c r="AS12" s="2" t="str">
        <f>D88</f>
        <v>Accusation de maladie mentale et dangerosité</v>
      </c>
      <c r="AT12">
        <f>AD105</f>
        <v>1</v>
      </c>
      <c r="AU12">
        <f>AE105</f>
        <v>0</v>
      </c>
      <c r="AV12">
        <f>AF105</f>
        <v>0</v>
      </c>
      <c r="AX12" s="5">
        <v>3</v>
      </c>
      <c r="AY12" s="743" t="str">
        <f>D88</f>
        <v>Accusation de maladie mentale et dangerosité</v>
      </c>
      <c r="AZ12" s="2152">
        <f>H100</f>
        <v>20</v>
      </c>
      <c r="BA12" s="742" t="s">
        <v>265</v>
      </c>
      <c r="BB12" s="740" t="str">
        <f t="shared" si="0"/>
        <v/>
      </c>
      <c r="BC12" s="743" t="str">
        <f>IF(L100="","",L100)</f>
        <v/>
      </c>
      <c r="BD12" s="744" t="s">
        <v>266</v>
      </c>
      <c r="BE12" s="740" t="str">
        <f t="shared" si="1"/>
        <v/>
      </c>
      <c r="BF12" s="743" t="str">
        <f>IF(N100="","",N100)</f>
        <v/>
      </c>
      <c r="BG12" s="745" t="s">
        <v>267</v>
      </c>
      <c r="BH12" s="740">
        <f t="shared" si="2"/>
        <v>20</v>
      </c>
      <c r="BI12" s="743" t="str">
        <f>IF(M100="","",M100)</f>
        <v>Bien que le parent laisse entendre que vous êtes instable psychologiquement l'enfant ne semble pas s'ingérer</v>
      </c>
      <c r="BJ12" s="55"/>
      <c r="BL12" s="2452" t="s">
        <v>2479</v>
      </c>
      <c r="BM12" s="2456" t="s">
        <v>2429</v>
      </c>
      <c r="BN12" s="2448"/>
      <c r="BO12" s="2459"/>
      <c r="CA12" s="75"/>
      <c r="CB12" s="16" t="s">
        <v>282</v>
      </c>
      <c r="CC12" s="7"/>
      <c r="CD12" s="68" t="s">
        <v>283</v>
      </c>
      <c r="CE12" s="7"/>
      <c r="CF12" s="7"/>
      <c r="CG12" s="7" t="s">
        <v>284</v>
      </c>
      <c r="CH12" s="7"/>
      <c r="CI12" s="7"/>
      <c r="CJ12" s="2604" t="s">
        <v>285</v>
      </c>
      <c r="CK12" s="2514" t="b">
        <v>1</v>
      </c>
    </row>
    <row r="13" spans="3:95" ht="52" thickBot="1" x14ac:dyDescent="0.35">
      <c r="C13" s="36"/>
      <c r="F13" s="36" t="s">
        <v>400</v>
      </c>
      <c r="G13" s="36"/>
      <c r="H13" s="36"/>
      <c r="I13" s="36"/>
      <c r="J13" s="36"/>
      <c r="K13" s="36"/>
      <c r="L13" s="36" t="s">
        <v>404</v>
      </c>
      <c r="M13" s="36" t="s">
        <v>451</v>
      </c>
      <c r="N13" s="49"/>
      <c r="AB13" s="2" t="s">
        <v>1639</v>
      </c>
      <c r="AG13" s="1" t="s">
        <v>604</v>
      </c>
      <c r="AH13" s="1" t="s">
        <v>603</v>
      </c>
      <c r="AI13" s="1" t="s">
        <v>605</v>
      </c>
      <c r="AJ13" s="1743" t="s">
        <v>1058</v>
      </c>
      <c r="AK13" s="1743" t="s">
        <v>1059</v>
      </c>
      <c r="AL13" s="1744" t="s">
        <v>1058</v>
      </c>
      <c r="AM13" s="1744" t="s">
        <v>1059</v>
      </c>
      <c r="AN13" s="1745" t="s">
        <v>1058</v>
      </c>
      <c r="AO13" s="1745" t="s">
        <v>1059</v>
      </c>
      <c r="AS13" s="2" t="str">
        <f>D107</f>
        <v>Manque de sécurité</v>
      </c>
      <c r="AT13">
        <f>AD124</f>
        <v>1</v>
      </c>
      <c r="AU13">
        <f>AE124</f>
        <v>1</v>
      </c>
      <c r="AV13">
        <f>AF124</f>
        <v>1</v>
      </c>
      <c r="AX13" s="5">
        <v>4</v>
      </c>
      <c r="AY13" s="743" t="str">
        <f>D107</f>
        <v>Manque de sécurité</v>
      </c>
      <c r="AZ13" s="2152">
        <f>H119</f>
        <v>28</v>
      </c>
      <c r="BA13" s="742" t="s">
        <v>265</v>
      </c>
      <c r="BB13" s="740" t="str">
        <f t="shared" si="0"/>
        <v/>
      </c>
      <c r="BC13" s="743" t="str">
        <f>IF(L119="","",L119)</f>
        <v/>
      </c>
      <c r="BD13" s="744" t="s">
        <v>266</v>
      </c>
      <c r="BE13" s="740" t="str">
        <f t="shared" si="1"/>
        <v/>
      </c>
      <c r="BF13" s="743" t="str">
        <f>IF(N119="","",N119)</f>
        <v/>
      </c>
      <c r="BG13" s="745" t="s">
        <v>267</v>
      </c>
      <c r="BH13" s="740">
        <f t="shared" si="2"/>
        <v>28</v>
      </c>
      <c r="BI13" s="743" t="str">
        <f>IF(M119="","",M119)</f>
        <v>Bien que le parent Le nouveau conjoint.e laisse entendre que l'enfant n'est pas en sécurité l'enfant ne semble pas s'ingérer</v>
      </c>
      <c r="BJ13" s="55"/>
      <c r="BL13" s="2452" t="s">
        <v>2480</v>
      </c>
      <c r="BM13" s="2456"/>
      <c r="BN13" s="2448"/>
      <c r="BO13" s="2347" t="s">
        <v>2437</v>
      </c>
      <c r="CA13" s="7"/>
      <c r="CD13" s="68" t="s">
        <v>286</v>
      </c>
      <c r="CE13" s="7"/>
      <c r="CF13" s="7"/>
      <c r="CG13" s="7" t="s">
        <v>287</v>
      </c>
      <c r="CH13" s="7" t="s">
        <v>288</v>
      </c>
      <c r="CJ13" s="2604"/>
      <c r="CK13" s="2514"/>
    </row>
    <row r="14" spans="3:95" ht="51" x14ac:dyDescent="0.3">
      <c r="C14" s="36"/>
      <c r="D14" s="36" t="s">
        <v>401</v>
      </c>
      <c r="N14" s="49"/>
      <c r="X14" s="1746"/>
      <c r="Y14" s="626"/>
      <c r="Z14" s="1747" t="s">
        <v>1535</v>
      </c>
      <c r="AA14" s="626"/>
      <c r="AB14" s="1755">
        <f>H53+H73+H92+H111+H130+H150+H169+H188+H207+H226+H245+H264+H283+H302+H321+H340+H359+H378+H397+H417+H437+H456+H475+H494+H513+H532+H555+H575+H595+H615+H635+H656+H679+H698+H717+H737+H756</f>
        <v>354</v>
      </c>
      <c r="AC14" s="626"/>
      <c r="AD14" s="626"/>
      <c r="AE14" s="626"/>
      <c r="AF14" s="626"/>
      <c r="AG14" s="626">
        <f>AG53+AG73+AG92+AG111+AG130+AG149+AG169+AG188+AG207+AG226+AG245+AG264+AG283+AG302+AG321+AG340+AG359+AG378+AG397+AG417+AG437+AG456+AG475+AG494+AG513+AG532+AG555+AG575+AG595+AG615+AG635+AG656+AG679+AG698+AG717+AG737+AG756</f>
        <v>277</v>
      </c>
      <c r="AH14" s="626">
        <f t="shared" ref="AH14:AO14" si="3">AH53+AH73+AH92+AH111+AH130+AH149+AH169+AH188+AH207+AH226+AH245+AH264+AH283+AH302+AH321+AH340+AH359+AH378+AH397+AH417+AH437+AH456+AH475+AH494+AH513+AH532+AH555+AH575+AH595+AH615+AH635+AH656+AH679+AH698+AH717+AH737+AH756</f>
        <v>162</v>
      </c>
      <c r="AI14" s="626">
        <f t="shared" si="3"/>
        <v>201</v>
      </c>
      <c r="AJ14" s="1788">
        <f t="shared" si="3"/>
        <v>227</v>
      </c>
      <c r="AK14" s="1788">
        <f t="shared" si="3"/>
        <v>520</v>
      </c>
      <c r="AL14" s="1789">
        <f t="shared" si="3"/>
        <v>85</v>
      </c>
      <c r="AM14" s="1789">
        <f t="shared" si="3"/>
        <v>243</v>
      </c>
      <c r="AN14" s="1790">
        <f t="shared" si="3"/>
        <v>164</v>
      </c>
      <c r="AO14" s="1791">
        <f t="shared" si="3"/>
        <v>308</v>
      </c>
      <c r="AS14" s="2" t="str">
        <f>D126</f>
        <v>Modifications des faits et souvenirs</v>
      </c>
      <c r="AT14">
        <f>AD143</f>
        <v>2</v>
      </c>
      <c r="AU14">
        <f>AE143</f>
        <v>1</v>
      </c>
      <c r="AV14">
        <f>AF143</f>
        <v>0</v>
      </c>
      <c r="AX14" s="5">
        <v>5</v>
      </c>
      <c r="AY14" s="743" t="str">
        <f>D126</f>
        <v>Modifications des faits et souvenirs</v>
      </c>
      <c r="AZ14" s="2152">
        <f>H138</f>
        <v>27</v>
      </c>
      <c r="BA14" s="742" t="s">
        <v>265</v>
      </c>
      <c r="BB14" s="740">
        <f t="shared" si="0"/>
        <v>27</v>
      </c>
      <c r="BC14" s="743" t="str">
        <f>IF(L138="","",L138)</f>
        <v>déforme les souvenirs</v>
      </c>
      <c r="BD14" s="744" t="s">
        <v>266</v>
      </c>
      <c r="BE14" s="740" t="str">
        <f t="shared" si="1"/>
        <v/>
      </c>
      <c r="BF14" s="743" t="str">
        <f>IF(N138="","",N138)</f>
        <v/>
      </c>
      <c r="BG14" s="745" t="s">
        <v>267</v>
      </c>
      <c r="BH14" s="740" t="str">
        <f t="shared" si="2"/>
        <v/>
      </c>
      <c r="BI14" s="743" t="str">
        <f>IF(M138="","",M138)</f>
        <v/>
      </c>
      <c r="BJ14" s="55"/>
      <c r="BL14" s="2452" t="s">
        <v>2426</v>
      </c>
      <c r="BM14" s="2456"/>
      <c r="BN14" s="2448"/>
      <c r="BO14" s="2347" t="s">
        <v>2437</v>
      </c>
      <c r="CA14" s="75"/>
      <c r="CD14" s="38" t="s">
        <v>289</v>
      </c>
      <c r="CG14" s="7" t="s">
        <v>290</v>
      </c>
      <c r="CH14" s="7"/>
      <c r="CI14" s="7"/>
      <c r="CJ14" s="2605" t="s">
        <v>291</v>
      </c>
      <c r="CK14" s="2514" t="b">
        <v>0</v>
      </c>
      <c r="CL14" s="7"/>
    </row>
    <row r="15" spans="3:95" ht="85" x14ac:dyDescent="0.3">
      <c r="C15" s="36"/>
      <c r="E15" s="36"/>
      <c r="F15" s="36" t="s">
        <v>402</v>
      </c>
      <c r="G15" s="36"/>
      <c r="H15" s="36"/>
      <c r="I15" s="36"/>
      <c r="J15" s="36"/>
      <c r="K15" s="36"/>
      <c r="L15" s="36" t="s">
        <v>405</v>
      </c>
      <c r="M15" s="36" t="s">
        <v>452</v>
      </c>
      <c r="N15" s="49"/>
      <c r="X15" s="122"/>
      <c r="Z15" s="2" t="s">
        <v>242</v>
      </c>
      <c r="AB15" s="55">
        <f>H56+H76+H95+H114+H133+H153+H172+H191+H210+H229+H248+H267+H286+H305+H324+H343+H362+H381+H400+H421+H440+H459+H478+H497+H516+H535+H558+H578+H598+H618+H638+H659+H682+H701+H720+H740+H759</f>
        <v>123</v>
      </c>
      <c r="AG15">
        <f>AG56+AG76+AG95+AG114+AG133+AG153+AG172+AG191+AG210+AG229+AG248+AG267+AG286+AG305+AG324+AG343+AG362+AG381+AG400+AG421+AG440+AG459+AG478+AG497+AG516+AG535+AG558+AG578+AG598+AG618+AG638+AG659+AG682+AG701+AG720+AG740+AG759</f>
        <v>119</v>
      </c>
      <c r="AH15">
        <f t="shared" ref="AH15:AO15" si="4">AH56+AH76+AH95+AH114+AH133+AH153+AH172+AH191+AH210+AH229+AH248+AH267+AH286+AH305+AH324+AH343+AH362+AH381+AH400+AH421+AH440+AH459+AH478+AH497+AH516+AH535+AH558+AH578+AH598+AH618+AH638+AH659+AH682+AH701+AH720+AH740+AH759</f>
        <v>42</v>
      </c>
      <c r="AI15">
        <f t="shared" si="4"/>
        <v>91</v>
      </c>
      <c r="AJ15" s="1792">
        <f>AJ56+AJ76+AJ95+AJ114+AJ133+AJ153+AJ172+AJ191+AJ210+AJ229+AJ248+AJ267+AJ286+AJ305+AJ324+AJ343+AJ362+AJ381+AJ400+AJ421+AJ440+AJ459+AJ478+AJ497+AJ516+AJ535+AJ558+AJ578+AJ598+AJ618+AJ638+AJ659+AJ682+AJ701+AJ720+AJ740+AJ759</f>
        <v>103</v>
      </c>
      <c r="AK15" s="1792">
        <f t="shared" si="4"/>
        <v>230</v>
      </c>
      <c r="AL15" s="1793">
        <f t="shared" si="4"/>
        <v>53</v>
      </c>
      <c r="AM15" s="1793">
        <f t="shared" si="4"/>
        <v>104</v>
      </c>
      <c r="AN15" s="1794">
        <f t="shared" si="4"/>
        <v>89</v>
      </c>
      <c r="AO15" s="1795">
        <f t="shared" si="4"/>
        <v>184</v>
      </c>
      <c r="AS15" s="2" t="str">
        <f>D145</f>
        <v>Culpabilise l'enfant de son amour envers vous</v>
      </c>
      <c r="AT15">
        <f>AD163</f>
        <v>1</v>
      </c>
      <c r="AU15">
        <f t="shared" ref="AU15:AV15" si="5">AE163</f>
        <v>1</v>
      </c>
      <c r="AV15">
        <f t="shared" si="5"/>
        <v>0</v>
      </c>
      <c r="AX15" s="5">
        <v>6</v>
      </c>
      <c r="AY15" s="743" t="str">
        <f>D145</f>
        <v>Culpabilise l'enfant de son amour envers vous</v>
      </c>
      <c r="AZ15" s="2152">
        <f>H158</f>
        <v>7</v>
      </c>
      <c r="BA15" s="742" t="s">
        <v>265</v>
      </c>
      <c r="BB15" s="740" t="str">
        <f t="shared" si="0"/>
        <v/>
      </c>
      <c r="BC15" s="743" t="str">
        <f>IF(L158="","",L158)</f>
        <v/>
      </c>
      <c r="BD15" s="744" t="s">
        <v>266</v>
      </c>
      <c r="BE15" s="740" t="str">
        <f t="shared" si="1"/>
        <v/>
      </c>
      <c r="BF15" s="743" t="str">
        <f>IF(N158="","",N158)</f>
        <v/>
      </c>
      <c r="BG15" s="745" t="s">
        <v>267</v>
      </c>
      <c r="BH15" s="740">
        <f t="shared" si="2"/>
        <v>7</v>
      </c>
      <c r="BI15" s="743" t="str">
        <f>IF(M158="","",M158)</f>
        <v>Bien que le parent culpabilise l'enfant pour son amour pour vous l'enfant ne semble pas s'ingérer</v>
      </c>
      <c r="BJ15" s="55"/>
      <c r="BL15" s="2452" t="s">
        <v>2481</v>
      </c>
      <c r="BM15" s="2456" t="s">
        <v>2497</v>
      </c>
      <c r="BN15" s="2448"/>
      <c r="BO15" s="2459"/>
      <c r="CA15" s="6"/>
      <c r="CB15" s="35"/>
      <c r="CD15" s="38" t="s">
        <v>286</v>
      </c>
      <c r="CG15" s="2602" t="s">
        <v>292</v>
      </c>
      <c r="CH15" s="2602"/>
      <c r="CI15" s="2602"/>
      <c r="CJ15" s="2605"/>
      <c r="CK15" s="2514"/>
      <c r="CL15" s="7"/>
    </row>
    <row r="16" spans="3:95" ht="52" thickBot="1" x14ac:dyDescent="0.35">
      <c r="C16" s="36"/>
      <c r="D16" s="36"/>
      <c r="E16" s="36"/>
      <c r="F16" s="36" t="s">
        <v>403</v>
      </c>
      <c r="G16" s="36"/>
      <c r="H16" s="36"/>
      <c r="I16" s="36"/>
      <c r="J16" s="36"/>
      <c r="K16" s="36"/>
      <c r="L16" s="36" t="s">
        <v>406</v>
      </c>
      <c r="M16" s="36" t="s">
        <v>453</v>
      </c>
      <c r="N16" s="49"/>
      <c r="X16" s="293"/>
      <c r="Y16" s="294"/>
      <c r="Z16" s="1748" t="s">
        <v>1638</v>
      </c>
      <c r="AA16" s="294"/>
      <c r="AB16" s="1749">
        <f>H57+H77+H96+H115+H134+H154+H173+H192+H211+H230+H249+H268+H287+H306+H325+H344+H363+H382+H401+H422+H441+H460+H479+H498+H517+H536+H559+H579+H599+H619+H639+H660+H683+H702+H721+H741+H760</f>
        <v>465</v>
      </c>
      <c r="AC16" s="294"/>
      <c r="AD16" s="294"/>
      <c r="AE16" s="294"/>
      <c r="AF16" s="294"/>
      <c r="AG16" s="294">
        <f t="shared" ref="AG16:AO16" si="6">AG57+AG77+AG96+AG115+AG134+AG154+AG173+AG192+AG211+AG230+AG249+AG268+AG287+AG306+AG325+AG344+AG363+AG382+AG401+AG422+AG441+AG460+AG479+AG498+AG517+AG536+AG559+AG579+AG599+AG619+AG639+AG660+AG683+AG702+AG721+AG741+AG760</f>
        <v>397</v>
      </c>
      <c r="AH16" s="294">
        <f t="shared" si="6"/>
        <v>205</v>
      </c>
      <c r="AI16" s="294">
        <f t="shared" si="6"/>
        <v>292</v>
      </c>
      <c r="AJ16" s="1796">
        <f t="shared" si="6"/>
        <v>325</v>
      </c>
      <c r="AK16" s="1796">
        <f t="shared" si="6"/>
        <v>740</v>
      </c>
      <c r="AL16" s="1797">
        <f t="shared" si="6"/>
        <v>124</v>
      </c>
      <c r="AM16" s="1797">
        <f t="shared" si="6"/>
        <v>309</v>
      </c>
      <c r="AN16" s="1798">
        <f t="shared" si="6"/>
        <v>239</v>
      </c>
      <c r="AO16" s="1799">
        <f t="shared" si="6"/>
        <v>472</v>
      </c>
      <c r="AS16" s="2" t="str">
        <f>D165</f>
        <v>Intervention à la suite d'un retour de garde</v>
      </c>
      <c r="AT16">
        <f>AD182</f>
        <v>1</v>
      </c>
      <c r="AU16">
        <f>AE182</f>
        <v>0</v>
      </c>
      <c r="AV16">
        <f>AF182</f>
        <v>1</v>
      </c>
      <c r="AX16" s="5">
        <v>7</v>
      </c>
      <c r="AY16" s="743" t="str">
        <f>D165</f>
        <v>Intervention à la suite d'un retour de garde</v>
      </c>
      <c r="AZ16" s="2152">
        <f>H177</f>
        <v>7</v>
      </c>
      <c r="BA16" s="742" t="s">
        <v>265</v>
      </c>
      <c r="BB16" s="740" t="str">
        <f t="shared" si="0"/>
        <v/>
      </c>
      <c r="BC16" s="743" t="str">
        <f>IF(L177="","",L177)</f>
        <v/>
      </c>
      <c r="BD16" s="744" t="s">
        <v>266</v>
      </c>
      <c r="BE16" s="740" t="str">
        <f t="shared" si="1"/>
        <v/>
      </c>
      <c r="BF16" s="743" t="str">
        <f>IF(N177="","",N177)</f>
        <v/>
      </c>
      <c r="BG16" s="745" t="s">
        <v>267</v>
      </c>
      <c r="BH16" s="740">
        <f t="shared" si="2"/>
        <v>7</v>
      </c>
      <c r="BI16" s="743" t="str">
        <f>IF(M177="","",M177)</f>
        <v>Bien que le parent accable de reproches par courriel ou texto au retour de garde l'enfant ne semble pas s'ingérer</v>
      </c>
      <c r="BL16" s="2452" t="s">
        <v>2482</v>
      </c>
      <c r="BM16" s="2456" t="s">
        <v>2456</v>
      </c>
      <c r="BN16" s="2448"/>
      <c r="BO16" s="2459"/>
      <c r="CB16" s="16"/>
      <c r="CD16" s="68" t="s">
        <v>283</v>
      </c>
      <c r="CG16" s="7" t="s">
        <v>284</v>
      </c>
      <c r="CJ16" s="2604" t="s">
        <v>293</v>
      </c>
      <c r="CK16" s="2514" t="b">
        <v>1</v>
      </c>
    </row>
    <row r="17" spans="3:89" ht="137" thickBot="1" x14ac:dyDescent="0.35">
      <c r="C17" s="36"/>
      <c r="D17" s="36"/>
      <c r="E17" s="36"/>
      <c r="F17" s="36"/>
      <c r="G17" s="36"/>
      <c r="H17" s="36"/>
      <c r="I17" s="36"/>
      <c r="J17" s="36"/>
      <c r="K17" s="36"/>
      <c r="L17" s="36"/>
      <c r="M17" s="36"/>
      <c r="N17" s="49"/>
      <c r="X17" s="1750"/>
      <c r="Y17" s="618"/>
      <c r="Z17" s="1751" t="s">
        <v>307</v>
      </c>
      <c r="AA17" s="618"/>
      <c r="AB17" s="1752">
        <f>H60+H80+H99+H118+H137+H157+H176+H195+H214+H233+H252+H271+H290+H309+H328+H347+H366+H385+H405+H425+H444+H463+H482+H501+H520+H540+H562+H582+H602+H622+H642+H663+H686+H705+H725+H744+H763</f>
        <v>154</v>
      </c>
      <c r="AC17" s="618"/>
      <c r="AD17" s="618"/>
      <c r="AE17" s="618"/>
      <c r="AF17" s="618"/>
      <c r="AG17" s="618">
        <f>AG60+AG80+AG99+AG118+AG137+AG157+AG176+AG195+AG214+AG233+AG252+AG271+AG290+AG309+AG328+AG347+AG366+AG385+AG405+AG425+AG444+AG463+AG482+AG501+AG520+AG540+AG562+AG582+AG602+AG622+AG642+AG663+AG686+AG705+AG725+AG744+AG763</f>
        <v>103</v>
      </c>
      <c r="AH17" s="618">
        <f t="shared" ref="AG17:AI18" si="7">AH60+AH80+AH99+AH118+AH137+AH157+AH176+AH195+AH214+AH233+AH252+AH271+AH290+AH309+AH328+AH347+AH366+AH385+AH405+AH425+AH444+AH463+AH482+AH501+AH520+AH540+AH562+AH582+AH602+AH622+AH642+AH663+AH686+AH705+AH725+AH744+AH763</f>
        <v>101</v>
      </c>
      <c r="AI17" s="618">
        <f t="shared" si="7"/>
        <v>0</v>
      </c>
      <c r="AJ17" s="1800">
        <f t="shared" ref="AJ17:AO17" si="8">AJ60+AJ80+AJ99+AJ118+AJ137+AJ157+AJ176+AJ195+AJ214+AJ233+AJ252+AJ271+AJ290+AJ309+AJ328+AJ347+AJ366+AJ385+AJ405+AJ425+AJ444+AJ463+AJ482+AJ501+AJ520+AJ540+AJ562+AJ582+AJ602+AJ622+AJ663</f>
        <v>64</v>
      </c>
      <c r="AK17" s="1800">
        <f t="shared" si="8"/>
        <v>160</v>
      </c>
      <c r="AL17" s="1801">
        <f t="shared" si="8"/>
        <v>43</v>
      </c>
      <c r="AM17" s="1801">
        <f t="shared" si="8"/>
        <v>142</v>
      </c>
      <c r="AN17" s="1802">
        <f t="shared" si="8"/>
        <v>0</v>
      </c>
      <c r="AO17" s="1803">
        <f t="shared" si="8"/>
        <v>0</v>
      </c>
      <c r="AS17" s="2" t="str">
        <f>D184</f>
        <v>Réaction en présence des deux parents</v>
      </c>
      <c r="AT17">
        <f>AD201</f>
        <v>2</v>
      </c>
      <c r="AU17">
        <f>AE201</f>
        <v>1</v>
      </c>
      <c r="AV17">
        <f>AF201</f>
        <v>1</v>
      </c>
      <c r="AX17" s="5">
        <v>8</v>
      </c>
      <c r="AY17" s="743" t="str">
        <f>D184</f>
        <v>Réaction en présence des deux parents</v>
      </c>
      <c r="AZ17" s="2152">
        <f>H196</f>
        <v>21</v>
      </c>
      <c r="BA17" s="742" t="s">
        <v>265</v>
      </c>
      <c r="BB17" s="740">
        <f t="shared" si="0"/>
        <v>21</v>
      </c>
      <c r="BC17" s="743" t="str">
        <f>IF(L196="","",L196)</f>
        <v>change d'attitude lorsqu'il est en présence des deux parents</v>
      </c>
      <c r="BD17" s="744" t="s">
        <v>266</v>
      </c>
      <c r="BE17" s="740" t="str">
        <f t="shared" si="1"/>
        <v/>
      </c>
      <c r="BF17" s="743" t="str">
        <f>IF(N196="","",N196)</f>
        <v/>
      </c>
      <c r="BG17" s="745" t="s">
        <v>267</v>
      </c>
      <c r="BH17" s="740" t="str">
        <f t="shared" si="2"/>
        <v/>
      </c>
      <c r="BI17" s="743" t="str">
        <f>IF(M196="","",M196)</f>
        <v/>
      </c>
      <c r="BL17" s="2452" t="s">
        <v>2457</v>
      </c>
      <c r="BM17" s="2456" t="s">
        <v>2498</v>
      </c>
      <c r="BN17" s="2448"/>
      <c r="BO17" s="2459"/>
      <c r="CA17" s="15"/>
      <c r="CD17" s="69" t="s">
        <v>294</v>
      </c>
      <c r="CG17" s="7" t="s">
        <v>290</v>
      </c>
      <c r="CJ17" s="2604"/>
      <c r="CK17" s="2514"/>
    </row>
    <row r="18" spans="3:89" ht="51" x14ac:dyDescent="0.3">
      <c r="C18" s="36" t="s">
        <v>457</v>
      </c>
      <c r="D18" s="36"/>
      <c r="E18" s="36"/>
      <c r="F18" s="36"/>
      <c r="G18" s="36"/>
      <c r="H18" s="36"/>
      <c r="I18" s="36"/>
      <c r="J18" s="36"/>
      <c r="K18" s="36"/>
      <c r="L18" s="36"/>
      <c r="M18" s="36"/>
      <c r="N18" s="49"/>
      <c r="X18" s="1746"/>
      <c r="Y18" s="1753"/>
      <c r="Z18" s="1754" t="s">
        <v>1641</v>
      </c>
      <c r="AA18" s="626"/>
      <c r="AB18" s="1755">
        <f>H61+H81+H100+H119+H138+H158+H177+H196+H215+H234+H253+H272+H291+H310+H329+H348+H367+H386+H406+H426+H445+H464+H483+H502+H521+H541+H563+H583+H603+H623+H643+H664+H687+H706+H726+H745+H764</f>
        <v>562</v>
      </c>
      <c r="AC18" s="1753"/>
      <c r="AD18" s="1753"/>
      <c r="AE18" s="1753"/>
      <c r="AF18" s="1753"/>
      <c r="AG18" s="626">
        <f t="shared" si="7"/>
        <v>500</v>
      </c>
      <c r="AH18" s="626">
        <f t="shared" si="7"/>
        <v>306</v>
      </c>
      <c r="AI18" s="626">
        <f>AI61+AI81+AI100+AI119+AI138+AI158+AI177+AI196+AI215+AI234+AI253+AI272+AI291+AI310+AI329+AI348+AI367+AI386+AI406+AI426+AI445+AI464+AI483+AI502+AI521+AI541+AI563+AI583+AI603+AI623+AI643+AI664+AI687+AI706+AI726+AI745+AI764</f>
        <v>0</v>
      </c>
      <c r="AJ18" s="1788">
        <f t="shared" ref="AJ18:AO18" si="9">AJ61+AJ81+AJ100+AJ119+AJ138+AJ158+AJ177+AJ196+AJ215+AJ234+AJ253+AJ272+AJ291+AJ310+AJ329+AJ348+AJ367+AJ386+AJ406+AJ426+AJ445+AJ464+AJ483+AJ502+AJ521+AJ541+AJ563+AJ583+AJ603+AJ623+AJ643+AJ664+AJ687+AJ706+AJ726+AJ745+AJ764</f>
        <v>321</v>
      </c>
      <c r="AK18" s="1788">
        <f t="shared" si="9"/>
        <v>790</v>
      </c>
      <c r="AL18" s="1789">
        <f t="shared" si="9"/>
        <v>155</v>
      </c>
      <c r="AM18" s="1789">
        <f t="shared" si="9"/>
        <v>423</v>
      </c>
      <c r="AN18" s="1790">
        <f t="shared" si="9"/>
        <v>0</v>
      </c>
      <c r="AO18" s="1791">
        <f t="shared" si="9"/>
        <v>0</v>
      </c>
      <c r="AS18" s="2" t="str">
        <f>D203</f>
        <v>Dénigre l'autre</v>
      </c>
      <c r="AT18">
        <f>AD220</f>
        <v>1</v>
      </c>
      <c r="AU18">
        <f>AE220</f>
        <v>1</v>
      </c>
      <c r="AV18">
        <f>AF220</f>
        <v>1</v>
      </c>
      <c r="AX18" s="5">
        <v>9</v>
      </c>
      <c r="AY18" s="743" t="str">
        <f>D203</f>
        <v>Dénigre l'autre</v>
      </c>
      <c r="AZ18" s="2152">
        <f>H215</f>
        <v>16</v>
      </c>
      <c r="BA18" s="742" t="s">
        <v>265</v>
      </c>
      <c r="BB18" s="740" t="str">
        <f t="shared" si="0"/>
        <v/>
      </c>
      <c r="BC18" s="743" t="str">
        <f>IF(L215="","",L215)</f>
        <v/>
      </c>
      <c r="BD18" s="744" t="s">
        <v>266</v>
      </c>
      <c r="BE18" s="740" t="str">
        <f t="shared" si="1"/>
        <v/>
      </c>
      <c r="BF18" s="743" t="str">
        <f>IF(N215="","",N215)</f>
        <v/>
      </c>
      <c r="BG18" s="745" t="s">
        <v>267</v>
      </c>
      <c r="BH18" s="740">
        <f t="shared" si="2"/>
        <v>16</v>
      </c>
      <c r="BI18" s="743" t="str">
        <f>IF(M215="","",M215)</f>
        <v>Bien que le parent dénigre vos compétences parentales par texto, courriel, etc. l'enfant ne semble pas s'ingérer</v>
      </c>
      <c r="BL18" s="2452" t="s">
        <v>2427</v>
      </c>
      <c r="BM18" s="2456" t="s">
        <v>2433</v>
      </c>
      <c r="BN18" s="2448"/>
      <c r="BO18" s="2459"/>
      <c r="CA18" s="32"/>
      <c r="CB18" s="291"/>
      <c r="CD18" s="38" t="s">
        <v>289</v>
      </c>
      <c r="CG18" s="7" t="s">
        <v>290</v>
      </c>
      <c r="CJ18" s="2605" t="s">
        <v>295</v>
      </c>
      <c r="CK18" s="2514" t="b">
        <v>0</v>
      </c>
    </row>
    <row r="19" spans="3:89" ht="51" x14ac:dyDescent="0.3">
      <c r="C19" s="526" t="s">
        <v>456</v>
      </c>
      <c r="D19" s="36"/>
      <c r="E19" s="36"/>
      <c r="F19" s="36"/>
      <c r="G19" s="36"/>
      <c r="H19" s="36"/>
      <c r="I19" s="36"/>
      <c r="J19" s="36"/>
      <c r="K19" s="36"/>
      <c r="L19" s="36"/>
      <c r="M19" s="36"/>
      <c r="N19" s="49"/>
      <c r="X19" s="122"/>
      <c r="Z19" s="2" t="s">
        <v>409</v>
      </c>
      <c r="AB19" s="55">
        <f>H65+H85+H104+H123+H142+H162+H181+H200+H219+H238+H257+H276+H295+H314+H333+H352+H371+H390+H410+H430+H449+H468+H487+H506+H525+H544+H567+H587+H607+H627+H647+H668+H691+H710+H730+H749+H768</f>
        <v>92</v>
      </c>
      <c r="AC19" s="55">
        <f>I65+I85+I104+I123+I142+I162+I181+I200+I219+I238+I257+I276+I295+I314+I333+I352+I371+I390+I410+I430+I449+I468+I487+I506+I525+I544+I567+I587+I607+I627+I668</f>
        <v>0</v>
      </c>
      <c r="AD19" s="55">
        <f>J65+J85+J104+J123+J142+J162+J181+J200+J219+J238+J257+J276+J295+J314+J333+J352+J371+J390+J410+J430+J449+J468+J487+J506+J525+J544+J567+J587+J607+J627+J668</f>
        <v>0</v>
      </c>
      <c r="AE19" s="55">
        <f>K65+K85+K104+K123+K142+K162+K181+K200+K219+K238+K257+K276+K295+K314+K333+K352+K371+K390+K410+K430+K449+K468+K487+K506+K525+K544+K567+K587+K607+K627+K668</f>
        <v>2</v>
      </c>
      <c r="AF19" s="55">
        <f>L65+L85+L104+L123+L142+L162+L181+L200+L219+L238+L257+L276+L295+L314+L333+L352+L371+L390+L410+L430+L449+L468+L487+L506+L525+L544+L567+L587+L607+L627+L668</f>
        <v>0</v>
      </c>
      <c r="AG19" s="55">
        <f t="shared" ref="AG19:AO19" si="10">AG65+AG85+AG104+AG123+AG142+AG162+AG181+AG200+AG219+AG238+AG257+AG276+AG295+AG314+AG333+AG352+AG371+AG390+AG410+AG430+AG449+AG468+AG487+AG506+AG525+AG544+AG567+AG587+AG607+AG627+AG647+AG668+AG691+AG710+AG730+AG749+AG768</f>
        <v>30</v>
      </c>
      <c r="AH19" s="55">
        <f t="shared" si="10"/>
        <v>33</v>
      </c>
      <c r="AI19" s="55">
        <f t="shared" si="10"/>
        <v>53</v>
      </c>
      <c r="AJ19" s="1804">
        <f t="shared" si="10"/>
        <v>102</v>
      </c>
      <c r="AK19" s="1804">
        <f t="shared" si="10"/>
        <v>210</v>
      </c>
      <c r="AL19" s="1805">
        <f t="shared" si="10"/>
        <v>18</v>
      </c>
      <c r="AM19" s="1805">
        <f t="shared" si="10"/>
        <v>68</v>
      </c>
      <c r="AN19" s="1806">
        <f t="shared" si="10"/>
        <v>118</v>
      </c>
      <c r="AO19" s="1807">
        <f t="shared" si="10"/>
        <v>216</v>
      </c>
      <c r="AS19" s="2" t="str">
        <f>D222</f>
        <v>Dénigre la nouvelle famille</v>
      </c>
      <c r="AT19">
        <f>AD239</f>
        <v>0</v>
      </c>
      <c r="AU19">
        <f>AE239</f>
        <v>0</v>
      </c>
      <c r="AV19">
        <f>AF239</f>
        <v>0</v>
      </c>
      <c r="AX19" s="5">
        <v>10</v>
      </c>
      <c r="AY19" s="743" t="str">
        <f>D222</f>
        <v>Dénigre la nouvelle famille</v>
      </c>
      <c r="AZ19" s="2152">
        <f>H234</f>
        <v>0</v>
      </c>
      <c r="BA19" s="742" t="s">
        <v>265</v>
      </c>
      <c r="BB19" s="740" t="str">
        <f t="shared" si="0"/>
        <v/>
      </c>
      <c r="BC19" s="743" t="str">
        <f>IF(L234="","",L234)</f>
        <v/>
      </c>
      <c r="BD19" s="744" t="s">
        <v>266</v>
      </c>
      <c r="BE19" s="740" t="str">
        <f t="shared" si="1"/>
        <v/>
      </c>
      <c r="BF19" s="743" t="str">
        <f>IF(N234="","",N234)</f>
        <v/>
      </c>
      <c r="BG19" s="745" t="s">
        <v>267</v>
      </c>
      <c r="BH19" s="740" t="str">
        <f t="shared" si="2"/>
        <v/>
      </c>
      <c r="BI19" s="743" t="str">
        <f>IF(M234="","",M234)</f>
        <v/>
      </c>
      <c r="BL19" s="2452" t="s">
        <v>2495</v>
      </c>
      <c r="BM19" s="2456"/>
      <c r="BN19" s="2448"/>
      <c r="BO19" s="2347" t="s">
        <v>2437</v>
      </c>
      <c r="CA19" s="75"/>
      <c r="CD19" s="38" t="s">
        <v>294</v>
      </c>
      <c r="CG19" s="7" t="s">
        <v>290</v>
      </c>
      <c r="CJ19" s="2605"/>
      <c r="CK19" s="2514"/>
    </row>
    <row r="20" spans="3:89" ht="61" thickBot="1" x14ac:dyDescent="0.35">
      <c r="C20" s="36" t="s">
        <v>1636</v>
      </c>
      <c r="D20" s="36"/>
      <c r="E20" s="36"/>
      <c r="F20" s="36"/>
      <c r="G20" s="36"/>
      <c r="H20" s="36"/>
      <c r="I20" s="36"/>
      <c r="J20" s="36"/>
      <c r="K20" s="36"/>
      <c r="L20" s="36"/>
      <c r="M20" s="36"/>
      <c r="N20" s="49"/>
      <c r="X20" s="293"/>
      <c r="Y20" s="294"/>
      <c r="Z20" s="1748" t="s">
        <v>1640</v>
      </c>
      <c r="AA20" s="294"/>
      <c r="AB20" s="294"/>
      <c r="AC20" s="294"/>
      <c r="AD20" s="294"/>
      <c r="AE20" s="294"/>
      <c r="AF20" s="294"/>
      <c r="AG20" s="1749">
        <f>AG66+AG86+AG105+AG124+AG143+AG163+AG182+AG201+AG220+AG239+AG258+AG277+AG296+AG315+AG334+AG353+AG372+AG391+AG411+AG431+AG450+AG469+AG488+AG507+AG526+AG545+AG568+AG588+AG608+AG628+AG648+AG669+AG692+AG711+AG731+AG750+AG769</f>
        <v>530</v>
      </c>
      <c r="AH20" s="1749">
        <f t="shared" ref="AH20:AO20" si="11">AH66+AH86+AH105+AH124+AH143+AH163+AH182+AH201+AH220+AH239+AH258+AH277+AH296+AH315+AH334+AH353+AH372+AH391+AH411+AH431+AH450+AH469+AH488+AH507+AH526+AH545+AH568+AH588+AH608+AH628+AH648+AH669+AH692+AH711+AH731+AH750+AH769</f>
        <v>331</v>
      </c>
      <c r="AI20" s="1749">
        <f t="shared" si="11"/>
        <v>321</v>
      </c>
      <c r="AJ20" s="1808">
        <f t="shared" si="11"/>
        <v>348</v>
      </c>
      <c r="AK20" s="1808">
        <f t="shared" si="11"/>
        <v>850</v>
      </c>
      <c r="AL20" s="1809">
        <f t="shared" si="11"/>
        <v>167</v>
      </c>
      <c r="AM20" s="1809">
        <f t="shared" si="11"/>
        <v>470</v>
      </c>
      <c r="AN20" s="1810">
        <f t="shared" si="11"/>
        <v>252</v>
      </c>
      <c r="AO20" s="1811">
        <f t="shared" si="11"/>
        <v>495</v>
      </c>
      <c r="AS20" s="2" t="str">
        <f>D241</f>
        <v>La nouvelle famille est "LA vraie"</v>
      </c>
      <c r="AT20">
        <f>AD258</f>
        <v>1</v>
      </c>
      <c r="AU20">
        <f>AE258</f>
        <v>1</v>
      </c>
      <c r="AV20">
        <f>AF258</f>
        <v>0</v>
      </c>
      <c r="AX20" s="5">
        <v>11</v>
      </c>
      <c r="AY20" s="743" t="str">
        <f>D241</f>
        <v>La nouvelle famille est "LA vraie"</v>
      </c>
      <c r="AZ20" s="2152">
        <f>H253</f>
        <v>14</v>
      </c>
      <c r="BA20" s="742" t="s">
        <v>265</v>
      </c>
      <c r="BB20" s="740" t="str">
        <f t="shared" si="0"/>
        <v/>
      </c>
      <c r="BC20" s="743" t="str">
        <f>IF(L253="","",L253)</f>
        <v/>
      </c>
      <c r="BD20" s="744" t="s">
        <v>266</v>
      </c>
      <c r="BE20" s="740">
        <f t="shared" si="1"/>
        <v>14</v>
      </c>
      <c r="BF20" s="743" t="str">
        <f>IF(N253="","",N253)</f>
        <v>laisse entendre que la vraie famille est celle de l'autre parent sans signe de la participation du parent favorisé et|ou nouveau conjoint.e</v>
      </c>
      <c r="BG20" s="745" t="s">
        <v>267</v>
      </c>
      <c r="BH20" s="740" t="str">
        <f t="shared" si="2"/>
        <v/>
      </c>
      <c r="BI20" s="743" t="str">
        <f>IF(M253="","",M253)</f>
        <v/>
      </c>
      <c r="BL20" s="2452" t="s">
        <v>2483</v>
      </c>
      <c r="BM20" s="2456"/>
      <c r="BN20" s="2448"/>
      <c r="BO20" s="2347" t="s">
        <v>2437</v>
      </c>
      <c r="CA20" s="75"/>
      <c r="CB20" s="70" t="s">
        <v>296</v>
      </c>
      <c r="CC20" s="62"/>
      <c r="CD20" s="71" t="s">
        <v>280</v>
      </c>
      <c r="CE20" s="62"/>
      <c r="CF20" s="62"/>
      <c r="CG20" s="71" t="s">
        <v>281</v>
      </c>
      <c r="CH20" s="62"/>
      <c r="CI20" s="62"/>
      <c r="CJ20" s="71" t="s">
        <v>297</v>
      </c>
      <c r="CK20" s="7" t="s">
        <v>298</v>
      </c>
    </row>
    <row r="21" spans="3:89" ht="51" x14ac:dyDescent="0.3">
      <c r="C21" s="36" t="s">
        <v>1637</v>
      </c>
      <c r="D21" s="36"/>
      <c r="E21" s="36"/>
      <c r="F21" s="36"/>
      <c r="G21" s="36"/>
      <c r="H21" s="36"/>
      <c r="I21" s="36"/>
      <c r="J21" s="36"/>
      <c r="K21" s="36"/>
      <c r="L21" s="36"/>
      <c r="M21" s="36"/>
      <c r="N21" s="49"/>
      <c r="AS21" s="2" t="str">
        <f>D260</f>
        <v>Le nouveau ou la nouvelle conjoint.e se fait appeler "papa" ou "maman"</v>
      </c>
      <c r="AT21">
        <f>AD277</f>
        <v>0</v>
      </c>
      <c r="AU21">
        <f>AE277</f>
        <v>0</v>
      </c>
      <c r="AV21">
        <f>AF277</f>
        <v>0</v>
      </c>
      <c r="AX21" s="5">
        <v>12</v>
      </c>
      <c r="AY21" s="743" t="str">
        <f>D260</f>
        <v>Le nouveau ou la nouvelle conjoint.e se fait appeler "papa" ou "maman"</v>
      </c>
      <c r="AZ21" s="2152">
        <f>H272</f>
        <v>4</v>
      </c>
      <c r="BA21" s="742" t="s">
        <v>265</v>
      </c>
      <c r="BB21" s="740" t="str">
        <f t="shared" si="0"/>
        <v/>
      </c>
      <c r="BC21" s="743" t="str">
        <f>IF(L272="","",L272)</f>
        <v/>
      </c>
      <c r="BD21" s="744" t="s">
        <v>266</v>
      </c>
      <c r="BE21" s="740" t="str">
        <f t="shared" si="1"/>
        <v/>
      </c>
      <c r="BF21" s="743" t="str">
        <f>IF(N272="","",N272)</f>
        <v/>
      </c>
      <c r="BG21" s="745" t="s">
        <v>267</v>
      </c>
      <c r="BH21" s="740" t="str">
        <f t="shared" si="2"/>
        <v/>
      </c>
      <c r="BI21" s="743" t="str">
        <f>IF(M272="","",M272)</f>
        <v/>
      </c>
      <c r="BL21" s="2452" t="s">
        <v>2484</v>
      </c>
      <c r="BM21" s="2456"/>
      <c r="BN21" s="2448"/>
      <c r="BO21" s="2347" t="s">
        <v>2437</v>
      </c>
      <c r="CA21" s="75"/>
      <c r="CB21" s="35"/>
      <c r="CD21" s="68" t="s">
        <v>283</v>
      </c>
      <c r="CE21" s="7"/>
      <c r="CF21" s="7"/>
      <c r="CG21" s="7" t="s">
        <v>299</v>
      </c>
      <c r="CH21" s="7"/>
      <c r="CI21" s="7"/>
      <c r="CJ21" s="2604" t="s">
        <v>300</v>
      </c>
      <c r="CK21" s="2514" t="b">
        <v>0</v>
      </c>
    </row>
    <row r="22" spans="3:89" ht="68" x14ac:dyDescent="0.3">
      <c r="C22" s="49"/>
      <c r="D22" s="49"/>
      <c r="E22" s="49"/>
      <c r="F22" s="49"/>
      <c r="G22" s="49"/>
      <c r="H22" s="49"/>
      <c r="I22" s="49"/>
      <c r="J22" s="49"/>
      <c r="K22" s="49"/>
      <c r="L22" s="49"/>
      <c r="M22" s="49"/>
      <c r="N22" s="49"/>
      <c r="AS22" s="2" t="str">
        <f>D279</f>
        <v>Changement d'horaire de l'enfant</v>
      </c>
      <c r="AT22">
        <f>AD296</f>
        <v>1</v>
      </c>
      <c r="AU22">
        <f>AE296</f>
        <v>1</v>
      </c>
      <c r="AV22">
        <f>AF296</f>
        <v>1</v>
      </c>
      <c r="AX22" s="5">
        <v>13</v>
      </c>
      <c r="AY22" s="743" t="str">
        <f>D279</f>
        <v>Changement d'horaire de l'enfant</v>
      </c>
      <c r="AZ22" s="2152">
        <f>H291</f>
        <v>22</v>
      </c>
      <c r="BA22" s="742" t="s">
        <v>265</v>
      </c>
      <c r="BB22" s="740" t="str">
        <f t="shared" si="0"/>
        <v/>
      </c>
      <c r="BC22" s="743" t="str">
        <f>IF(L291="","",L291)</f>
        <v/>
      </c>
      <c r="BD22" s="744" t="s">
        <v>266</v>
      </c>
      <c r="BE22" s="740" t="str">
        <f t="shared" si="1"/>
        <v/>
      </c>
      <c r="BF22" s="743" t="str">
        <f>IF(N291="","",N291)</f>
        <v/>
      </c>
      <c r="BG22" s="745" t="s">
        <v>267</v>
      </c>
      <c r="BH22" s="740">
        <f t="shared" si="2"/>
        <v>22</v>
      </c>
      <c r="BI22" s="743" t="str">
        <f>IF(M291="","",M291)</f>
        <v>Bien que le parent Le nouveau conjoint.e impose des changements d'horaire sans consultation auprès de l'autre l'enfant ne semble pas s'ingérer</v>
      </c>
      <c r="BL22" s="2452" t="s">
        <v>2485</v>
      </c>
      <c r="BM22" s="2456" t="s">
        <v>2434</v>
      </c>
      <c r="BN22" s="2448"/>
      <c r="BO22" s="2459"/>
      <c r="CA22" s="6"/>
      <c r="CD22" s="68" t="s">
        <v>286</v>
      </c>
      <c r="CE22" s="7"/>
      <c r="CF22" s="7"/>
      <c r="CG22" s="7" t="s">
        <v>301</v>
      </c>
      <c r="CH22" s="7"/>
      <c r="CJ22" s="2604"/>
      <c r="CK22" s="2514"/>
    </row>
    <row r="23" spans="3:89" ht="34" x14ac:dyDescent="0.3">
      <c r="C23" s="49"/>
      <c r="D23" s="49"/>
      <c r="E23" s="49"/>
      <c r="F23" s="49"/>
      <c r="G23" s="49"/>
      <c r="H23" s="49"/>
      <c r="I23" s="49"/>
      <c r="J23" s="49"/>
      <c r="K23" s="49"/>
      <c r="L23" s="49"/>
      <c r="M23" s="49"/>
      <c r="N23" s="49"/>
      <c r="AS23" s="2" t="str">
        <f>D298</f>
        <v>Organise des activités hors de sa garde</v>
      </c>
      <c r="AT23">
        <f>AD315</f>
        <v>2</v>
      </c>
      <c r="AU23">
        <f>AE315</f>
        <v>1</v>
      </c>
      <c r="AV23">
        <f>AF315</f>
        <v>1</v>
      </c>
      <c r="AX23" s="5">
        <v>14</v>
      </c>
      <c r="AY23" s="743" t="str">
        <f>D298</f>
        <v>Organise des activités hors de sa garde</v>
      </c>
      <c r="AZ23" s="2152">
        <f>H310</f>
        <v>50</v>
      </c>
      <c r="BA23" s="742" t="s">
        <v>265</v>
      </c>
      <c r="BB23" s="740">
        <f t="shared" si="0"/>
        <v>50</v>
      </c>
      <c r="BC23" s="743" t="str">
        <f>IF(L310="","",L310)</f>
        <v>subit de la pression pour passer plus de temps chez l'autre</v>
      </c>
      <c r="BD23" s="744" t="s">
        <v>266</v>
      </c>
      <c r="BE23" s="740" t="str">
        <f t="shared" si="1"/>
        <v/>
      </c>
      <c r="BF23" s="743" t="str">
        <f>IF(N310="","",N310)</f>
        <v/>
      </c>
      <c r="BG23" s="745" t="s">
        <v>267</v>
      </c>
      <c r="BH23" s="740" t="str">
        <f t="shared" si="2"/>
        <v/>
      </c>
      <c r="BI23" s="743" t="str">
        <f>IF(M310="","",M310)</f>
        <v/>
      </c>
      <c r="BL23" s="2452" t="s">
        <v>2458</v>
      </c>
      <c r="BM23" s="2456" t="s">
        <v>2435</v>
      </c>
      <c r="BN23" s="2448"/>
      <c r="BO23" s="2459"/>
      <c r="CD23" s="38" t="s">
        <v>289</v>
      </c>
      <c r="CG23" s="7" t="s">
        <v>290</v>
      </c>
      <c r="CH23" s="7"/>
      <c r="CI23" s="7"/>
      <c r="CJ23" s="2605" t="s">
        <v>302</v>
      </c>
      <c r="CK23" s="2514" t="b">
        <v>0</v>
      </c>
    </row>
    <row r="24" spans="3:89" ht="40" x14ac:dyDescent="0.3">
      <c r="C24" s="49"/>
      <c r="D24" s="49"/>
      <c r="E24" s="49"/>
      <c r="F24" s="49"/>
      <c r="G24" s="49"/>
      <c r="H24" s="49"/>
      <c r="I24" s="49"/>
      <c r="J24" s="49"/>
      <c r="K24" s="49"/>
      <c r="L24" s="49"/>
      <c r="M24" s="49"/>
      <c r="N24" s="49"/>
      <c r="X24" s="1731" t="s">
        <v>1988</v>
      </c>
      <c r="AS24" s="2" t="str">
        <f>D317</f>
        <v>Impose sa présence (appel, texto)</v>
      </c>
      <c r="AT24">
        <f>AD334</f>
        <v>1</v>
      </c>
      <c r="AU24">
        <f>AE334</f>
        <v>1</v>
      </c>
      <c r="AV24">
        <f>AF334</f>
        <v>0</v>
      </c>
      <c r="AX24" s="5">
        <v>15</v>
      </c>
      <c r="AY24" s="743" t="str">
        <f>D317</f>
        <v>Impose sa présence (appel, texto)</v>
      </c>
      <c r="AZ24" s="2152">
        <f>H329</f>
        <v>28</v>
      </c>
      <c r="BA24" s="742" t="s">
        <v>265</v>
      </c>
      <c r="BB24" s="740" t="str">
        <f t="shared" si="0"/>
        <v/>
      </c>
      <c r="BC24" s="743" t="str">
        <f>IF(L329="","",L329)</f>
        <v/>
      </c>
      <c r="BD24" s="744" t="s">
        <v>266</v>
      </c>
      <c r="BE24" s="740" t="str">
        <f t="shared" si="1"/>
        <v/>
      </c>
      <c r="BF24" s="743" t="str">
        <f>IF(N329="","",N329)</f>
        <v/>
      </c>
      <c r="BG24" s="745" t="s">
        <v>267</v>
      </c>
      <c r="BH24" s="740">
        <f t="shared" si="2"/>
        <v>28</v>
      </c>
      <c r="BI24" s="743" t="str">
        <f>IF(M329="","",M329)</f>
        <v>Bien que le parent Le nouveau conjoint.e impose sa présence régulièrement durant votre temps de garde l'enfant ne semble pas s'ingérer</v>
      </c>
      <c r="BL24" s="2452" t="s">
        <v>2459</v>
      </c>
      <c r="BM24" s="2456" t="s">
        <v>2435</v>
      </c>
      <c r="BN24" s="2448"/>
      <c r="BO24" s="2459"/>
      <c r="CA24" s="15"/>
      <c r="CD24" s="38" t="s">
        <v>286</v>
      </c>
      <c r="CG24" s="2602" t="s">
        <v>292</v>
      </c>
      <c r="CH24" s="2602"/>
      <c r="CI24" s="2602"/>
      <c r="CJ24" s="2605"/>
      <c r="CK24" s="2514"/>
    </row>
    <row r="25" spans="3:89" ht="40" x14ac:dyDescent="0.3">
      <c r="C25" s="49"/>
      <c r="D25" s="49"/>
      <c r="E25" s="49"/>
      <c r="F25" s="49"/>
      <c r="G25" s="49"/>
      <c r="H25" s="49"/>
      <c r="I25" s="49"/>
      <c r="J25" s="49"/>
      <c r="K25" s="49"/>
      <c r="L25" s="49"/>
      <c r="M25" s="49"/>
      <c r="N25" s="49"/>
      <c r="X25" s="49" t="s">
        <v>1989</v>
      </c>
      <c r="AS25" s="2" t="str">
        <f>D336</f>
        <v>Contrôle des communications</v>
      </c>
      <c r="AT25">
        <f>AD353</f>
        <v>1</v>
      </c>
      <c r="AU25">
        <f>AE353</f>
        <v>0</v>
      </c>
      <c r="AV25">
        <f>AF353</f>
        <v>1</v>
      </c>
      <c r="AX25" s="5">
        <v>16</v>
      </c>
      <c r="AY25" s="743" t="str">
        <f>D336</f>
        <v>Contrôle des communications</v>
      </c>
      <c r="AZ25" s="2152">
        <f>H348</f>
        <v>28</v>
      </c>
      <c r="BA25" s="742" t="s">
        <v>265</v>
      </c>
      <c r="BB25" s="740" t="str">
        <f t="shared" si="0"/>
        <v/>
      </c>
      <c r="BC25" s="743" t="str">
        <f>IF(L348="","",L348)</f>
        <v/>
      </c>
      <c r="BD25" s="744" t="s">
        <v>266</v>
      </c>
      <c r="BE25" s="740" t="str">
        <f t="shared" si="1"/>
        <v/>
      </c>
      <c r="BF25" s="743" t="str">
        <f>IF(N348="","",N348)</f>
        <v/>
      </c>
      <c r="BG25" s="745" t="s">
        <v>267</v>
      </c>
      <c r="BH25" s="740">
        <f t="shared" si="2"/>
        <v>28</v>
      </c>
      <c r="BI25" s="743" t="str">
        <f>IF(M348="","",M348)</f>
        <v>Bien que le parent Le nouveau conjoint.e contrôle et écourte les conversations téléphoniques l'enfant ne semble pas s'ingérer</v>
      </c>
      <c r="BL25" s="2452" t="s">
        <v>2486</v>
      </c>
      <c r="BM25" s="2456" t="s">
        <v>2435</v>
      </c>
      <c r="BN25" s="2448"/>
      <c r="BO25" s="2459"/>
      <c r="CA25" s="32"/>
      <c r="CD25" s="68" t="s">
        <v>283</v>
      </c>
      <c r="CG25" s="7" t="s">
        <v>299</v>
      </c>
      <c r="CJ25" s="2604" t="s">
        <v>300</v>
      </c>
      <c r="CK25" s="2514" t="b">
        <v>0</v>
      </c>
    </row>
    <row r="26" spans="3:89" ht="52" thickBot="1" x14ac:dyDescent="0.35">
      <c r="C26" s="49"/>
      <c r="D26" s="49"/>
      <c r="E26" s="49"/>
      <c r="F26" s="49"/>
      <c r="G26" s="49"/>
      <c r="H26" s="49"/>
      <c r="I26" s="49"/>
      <c r="J26" s="49"/>
      <c r="K26" s="49"/>
      <c r="L26" s="49"/>
      <c r="M26" s="49"/>
      <c r="N26" s="49"/>
      <c r="AB26" s="2" t="s">
        <v>1639</v>
      </c>
      <c r="AG26" s="1" t="s">
        <v>604</v>
      </c>
      <c r="AH26" s="1" t="s">
        <v>603</v>
      </c>
      <c r="AI26" s="1" t="s">
        <v>605</v>
      </c>
      <c r="AJ26" s="1743" t="s">
        <v>1058</v>
      </c>
      <c r="AK26" s="1743" t="s">
        <v>1059</v>
      </c>
      <c r="AL26" s="1744" t="s">
        <v>1058</v>
      </c>
      <c r="AM26" s="1744" t="s">
        <v>1059</v>
      </c>
      <c r="AN26" s="1745" t="s">
        <v>1058</v>
      </c>
      <c r="AO26" s="1745" t="s">
        <v>1059</v>
      </c>
      <c r="AS26" s="2" t="str">
        <f>D355</f>
        <v>Contact de l'enfant avec la famille élargie</v>
      </c>
      <c r="AT26">
        <f>AD372</f>
        <v>0</v>
      </c>
      <c r="AU26">
        <f>AE372</f>
        <v>0</v>
      </c>
      <c r="AV26">
        <f>AF372</f>
        <v>0</v>
      </c>
      <c r="AX26" s="5">
        <v>17</v>
      </c>
      <c r="AY26" s="743" t="str">
        <f>D355</f>
        <v>Contact de l'enfant avec la famille élargie</v>
      </c>
      <c r="AZ26" s="2152">
        <f>H367</f>
        <v>0</v>
      </c>
      <c r="BA26" s="742" t="s">
        <v>265</v>
      </c>
      <c r="BB26" s="740" t="str">
        <f t="shared" si="0"/>
        <v/>
      </c>
      <c r="BC26" s="743" t="str">
        <f>IF(L367="","",L367)</f>
        <v/>
      </c>
      <c r="BD26" s="744" t="s">
        <v>266</v>
      </c>
      <c r="BE26" s="740" t="str">
        <f t="shared" si="1"/>
        <v/>
      </c>
      <c r="BF26" s="743" t="str">
        <f>IF(N367="","",N367)</f>
        <v/>
      </c>
      <c r="BG26" s="745" t="s">
        <v>267</v>
      </c>
      <c r="BH26" s="740" t="str">
        <f t="shared" si="2"/>
        <v/>
      </c>
      <c r="BI26" s="743" t="str">
        <f>IF(M367="","",M367)</f>
        <v/>
      </c>
      <c r="BL26" s="2452" t="s">
        <v>2428</v>
      </c>
      <c r="BM26" s="2456"/>
      <c r="BN26" s="2448"/>
      <c r="BO26" s="2347" t="s">
        <v>2437</v>
      </c>
      <c r="CA26" s="32"/>
      <c r="CD26" s="68"/>
      <c r="CG26" s="7"/>
      <c r="CJ26" s="2604"/>
      <c r="CK26" s="2514"/>
    </row>
    <row r="27" spans="3:89" ht="34" x14ac:dyDescent="0.3">
      <c r="C27" s="49"/>
      <c r="D27" s="49"/>
      <c r="E27" s="49"/>
      <c r="F27" s="49"/>
      <c r="G27" s="49"/>
      <c r="H27" s="49"/>
      <c r="I27" s="49"/>
      <c r="J27" s="49"/>
      <c r="K27" s="49"/>
      <c r="L27" s="49"/>
      <c r="M27" s="49"/>
      <c r="N27" s="49"/>
      <c r="X27" s="1746"/>
      <c r="Y27" s="626"/>
      <c r="Z27" s="1747" t="s">
        <v>1535</v>
      </c>
      <c r="AA27" s="626"/>
      <c r="AB27" s="626"/>
      <c r="AC27" s="626"/>
      <c r="AD27" s="626"/>
      <c r="AE27" s="626"/>
      <c r="AF27" s="626"/>
      <c r="AG27" s="626">
        <f>AG113+AG188+AG207+AG226+AG264+AG283+AG302+AG321+AG340+AG418+AG475+AG532</f>
        <v>95</v>
      </c>
      <c r="AH27" s="626">
        <f t="shared" ref="AH27:AI27" si="12">AH113+AH188+AH207+AH226+AH264+AH283+AH302+AH321+AH340+AH418+AH475+AH532</f>
        <v>37</v>
      </c>
      <c r="AI27" s="626">
        <f t="shared" si="12"/>
        <v>100</v>
      </c>
      <c r="AJ27" s="1788">
        <f t="shared" ref="AJ27:AO27" si="13">AJ113+AJ188+AJ207+AJ226+AJ264+AJ283+AJ302+AJ321+AJ340+AJ418+AJ475+AJ532</f>
        <v>82</v>
      </c>
      <c r="AK27" s="1788">
        <f t="shared" si="13"/>
        <v>170</v>
      </c>
      <c r="AL27" s="1789">
        <f t="shared" si="13"/>
        <v>19</v>
      </c>
      <c r="AM27" s="1789">
        <f t="shared" si="13"/>
        <v>55</v>
      </c>
      <c r="AN27" s="1790">
        <f t="shared" si="13"/>
        <v>68</v>
      </c>
      <c r="AO27" s="1791">
        <f t="shared" si="13"/>
        <v>124</v>
      </c>
      <c r="AR27" s="3"/>
      <c r="AS27" s="2" t="str">
        <f>D374</f>
        <v>Sujet personnel|intime partagé à l'enfant</v>
      </c>
      <c r="AT27">
        <f>AD391</f>
        <v>0</v>
      </c>
      <c r="AU27">
        <f>AE391</f>
        <v>1</v>
      </c>
      <c r="AV27">
        <f>AF391</f>
        <v>0</v>
      </c>
      <c r="AX27" s="5">
        <v>18</v>
      </c>
      <c r="AY27" s="743" t="str">
        <f>D374</f>
        <v>Sujet personnel|intime partagé à l'enfant</v>
      </c>
      <c r="AZ27" s="2152">
        <f>H386</f>
        <v>8</v>
      </c>
      <c r="BA27" s="742" t="s">
        <v>265</v>
      </c>
      <c r="BB27" s="740" t="str">
        <f t="shared" si="0"/>
        <v/>
      </c>
      <c r="BC27" s="743" t="str">
        <f>IF(L386="","",L386)</f>
        <v/>
      </c>
      <c r="BD27" s="744" t="s">
        <v>266</v>
      </c>
      <c r="BE27" s="740" t="str">
        <f t="shared" si="1"/>
        <v/>
      </c>
      <c r="BF27" s="743" t="str">
        <f>IF(N386="","",N386)</f>
        <v/>
      </c>
      <c r="BG27" s="745" t="s">
        <v>267</v>
      </c>
      <c r="BH27" s="740" t="str">
        <f t="shared" si="2"/>
        <v/>
      </c>
      <c r="BI27" s="743" t="str">
        <f>IF(M386="","",M386)</f>
        <v/>
      </c>
      <c r="BL27" s="2452" t="s">
        <v>2487</v>
      </c>
      <c r="BM27" s="2456" t="s">
        <v>2435</v>
      </c>
      <c r="BN27" s="2448"/>
      <c r="BO27" s="2459"/>
      <c r="CA27" s="32"/>
      <c r="CD27" s="68"/>
      <c r="CG27" s="7"/>
      <c r="CJ27" s="2604"/>
      <c r="CK27" s="2514"/>
    </row>
    <row r="28" spans="3:89" ht="35" thickBot="1" x14ac:dyDescent="0.35">
      <c r="C28" s="49"/>
      <c r="D28" s="49"/>
      <c r="E28" s="49"/>
      <c r="F28" s="49"/>
      <c r="G28" s="49"/>
      <c r="H28" s="49"/>
      <c r="I28" s="49"/>
      <c r="J28" s="49"/>
      <c r="K28" s="49"/>
      <c r="L28" s="49"/>
      <c r="M28" s="49"/>
      <c r="N28" s="49"/>
      <c r="X28" s="293"/>
      <c r="Y28" s="294"/>
      <c r="Z28" s="1748" t="s">
        <v>242</v>
      </c>
      <c r="AA28" s="294"/>
      <c r="AB28" s="294"/>
      <c r="AC28" s="294"/>
      <c r="AD28" s="294"/>
      <c r="AE28" s="294"/>
      <c r="AF28" s="294"/>
      <c r="AG28" s="294">
        <f>AG114+AG191+AG210+AG229+AG267+AG286+AG305+AG324+AG343+AG421+AG478+AG535</f>
        <v>119</v>
      </c>
      <c r="AH28" s="294">
        <f t="shared" ref="AH28:AI28" si="14">AH114+AH191+AH210+AH229+AH267+AH286+AH305+AH324+AH343+AH421+AH478+AH535</f>
        <v>42</v>
      </c>
      <c r="AI28" s="294">
        <f t="shared" si="14"/>
        <v>91</v>
      </c>
      <c r="AJ28" s="1796">
        <f t="shared" ref="AJ28:AO28" si="15">AJ114+AJ191+AJ210+AJ229+AJ267+AJ286+AJ305+AJ324+AJ343+AJ421+AJ478+AJ535</f>
        <v>103</v>
      </c>
      <c r="AK28" s="1796">
        <f t="shared" si="15"/>
        <v>230</v>
      </c>
      <c r="AL28" s="1797">
        <f t="shared" si="15"/>
        <v>53</v>
      </c>
      <c r="AM28" s="1797">
        <f t="shared" si="15"/>
        <v>104</v>
      </c>
      <c r="AN28" s="1798">
        <f t="shared" si="15"/>
        <v>89</v>
      </c>
      <c r="AO28" s="1799">
        <f t="shared" si="15"/>
        <v>184</v>
      </c>
      <c r="AS28" s="2" t="str">
        <f>D393</f>
        <v>Fait lire les communications à l'enfant</v>
      </c>
      <c r="AT28">
        <f>AD411</f>
        <v>1</v>
      </c>
      <c r="AU28">
        <f>AE411</f>
        <v>1</v>
      </c>
      <c r="AV28">
        <f>AF411</f>
        <v>1</v>
      </c>
      <c r="AX28" s="5">
        <v>19</v>
      </c>
      <c r="AY28" s="743" t="str">
        <f>D393</f>
        <v>Fait lire les communications à l'enfant</v>
      </c>
      <c r="AZ28" s="2152">
        <f>H406</f>
        <v>32</v>
      </c>
      <c r="BA28" s="742" t="s">
        <v>265</v>
      </c>
      <c r="BB28" s="740">
        <f t="shared" si="0"/>
        <v>32</v>
      </c>
      <c r="BC28" s="743" t="str">
        <f>IF(L406="","",L406)</f>
        <v>est informé du contexte juridique ou autre sujet associé au conflit</v>
      </c>
      <c r="BD28" s="744" t="s">
        <v>266</v>
      </c>
      <c r="BE28" s="740" t="str">
        <f t="shared" si="1"/>
        <v/>
      </c>
      <c r="BF28" s="743" t="str">
        <f>IF(N406="","",N406)</f>
        <v/>
      </c>
      <c r="BG28" s="745" t="s">
        <v>267</v>
      </c>
      <c r="BH28" s="740" t="str">
        <f t="shared" si="2"/>
        <v/>
      </c>
      <c r="BI28" s="743" t="str">
        <f>IF(M406="","",M406)</f>
        <v/>
      </c>
      <c r="BL28" s="2452" t="s">
        <v>2488</v>
      </c>
      <c r="BM28" s="2456" t="s">
        <v>2435</v>
      </c>
      <c r="BN28" s="2448"/>
      <c r="BO28" s="2459"/>
      <c r="CA28" s="32"/>
      <c r="CD28" s="68"/>
      <c r="CG28" s="7"/>
      <c r="CJ28" s="2604"/>
      <c r="CK28" s="2514"/>
    </row>
    <row r="29" spans="3:89" ht="40" x14ac:dyDescent="0.3">
      <c r="C29" s="49"/>
      <c r="D29" s="49"/>
      <c r="E29" s="49"/>
      <c r="F29" s="49"/>
      <c r="G29" s="49"/>
      <c r="H29" s="49"/>
      <c r="I29" s="49"/>
      <c r="J29" s="49"/>
      <c r="K29" s="49"/>
      <c r="L29" s="49"/>
      <c r="M29" s="49"/>
      <c r="N29" s="49"/>
      <c r="AS29" s="2" t="str">
        <f>D413</f>
        <v>L'enfant est messager de la logistique</v>
      </c>
      <c r="AT29">
        <f>AD431</f>
        <v>1</v>
      </c>
      <c r="AU29">
        <f>AE431</f>
        <v>1</v>
      </c>
      <c r="AV29">
        <f>AF431</f>
        <v>1</v>
      </c>
      <c r="AX29" s="5">
        <v>20</v>
      </c>
      <c r="AY29" s="743" t="str">
        <f>D413</f>
        <v>L'enfant est messager de la logistique</v>
      </c>
      <c r="AZ29" s="2152">
        <f>H426</f>
        <v>14</v>
      </c>
      <c r="BA29" s="742" t="s">
        <v>265</v>
      </c>
      <c r="BB29" s="740" t="str">
        <f t="shared" si="0"/>
        <v/>
      </c>
      <c r="BC29" s="743" t="str">
        <f>IF(L426="","",L426)</f>
        <v/>
      </c>
      <c r="BD29" s="744" t="s">
        <v>266</v>
      </c>
      <c r="BE29" s="740" t="str">
        <f t="shared" si="1"/>
        <v/>
      </c>
      <c r="BF29" s="743" t="str">
        <f>IF(N426="","",N426)</f>
        <v/>
      </c>
      <c r="BG29" s="745" t="s">
        <v>267</v>
      </c>
      <c r="BH29" s="740">
        <f t="shared" si="2"/>
        <v>14</v>
      </c>
      <c r="BI29" s="743" t="str">
        <f>IF(M426="","",M426)</f>
        <v>Bien que le parent Le nouveau conjoint.e vous dénigre l'enfant ne semble pas s'ingérer</v>
      </c>
      <c r="BL29" s="2452" t="s">
        <v>2489</v>
      </c>
      <c r="BM29" s="2457" t="s">
        <v>2435</v>
      </c>
      <c r="BN29" s="2448"/>
      <c r="BO29" s="2459"/>
      <c r="CA29" s="32"/>
      <c r="CD29" s="68"/>
      <c r="CG29" s="7"/>
      <c r="CJ29" s="2604"/>
      <c r="CK29" s="2514"/>
    </row>
    <row r="30" spans="3:89" ht="85" x14ac:dyDescent="0.3">
      <c r="C30" s="49"/>
      <c r="D30" s="49"/>
      <c r="E30" s="49"/>
      <c r="F30" s="49"/>
      <c r="G30" s="49"/>
      <c r="H30" s="49"/>
      <c r="I30" s="49"/>
      <c r="J30" s="49"/>
      <c r="K30" s="49"/>
      <c r="L30" s="49"/>
      <c r="M30" s="49"/>
      <c r="N30" s="49"/>
      <c r="X30" s="36" t="s">
        <v>2163</v>
      </c>
      <c r="AG30" s="593" t="s">
        <v>281</v>
      </c>
      <c r="AH30" s="3" t="s">
        <v>1531</v>
      </c>
      <c r="AI30" s="3"/>
      <c r="AJ30" s="3"/>
      <c r="AK30" s="3"/>
      <c r="AL30" s="3"/>
      <c r="AS30" s="2" t="str">
        <f>D433</f>
        <v>Liberté du choix de l'enfant</v>
      </c>
      <c r="AT30">
        <f>AD450</f>
        <v>0</v>
      </c>
      <c r="AU30">
        <f>AE450</f>
        <v>0</v>
      </c>
      <c r="AV30">
        <f>AF450</f>
        <v>0</v>
      </c>
      <c r="AX30" s="5">
        <v>21</v>
      </c>
      <c r="AY30" s="743" t="str">
        <f>D433</f>
        <v>Liberté du choix de l'enfant</v>
      </c>
      <c r="AZ30" s="2152">
        <f>H445</f>
        <v>0</v>
      </c>
      <c r="BA30" s="742" t="s">
        <v>265</v>
      </c>
      <c r="BB30" s="740" t="str">
        <f t="shared" si="0"/>
        <v/>
      </c>
      <c r="BC30" s="743" t="str">
        <f>IF(L445="","",L445)</f>
        <v/>
      </c>
      <c r="BD30" s="744" t="s">
        <v>266</v>
      </c>
      <c r="BE30" s="740" t="str">
        <f t="shared" si="1"/>
        <v/>
      </c>
      <c r="BF30" s="743" t="str">
        <f>IF(N445="","",N445)</f>
        <v/>
      </c>
      <c r="BG30" s="745" t="s">
        <v>267</v>
      </c>
      <c r="BH30" s="740" t="str">
        <f t="shared" si="2"/>
        <v/>
      </c>
      <c r="BI30" s="743" t="str">
        <f>IF(M445="","",M445)</f>
        <v/>
      </c>
      <c r="BL30" s="2452" t="s">
        <v>2490</v>
      </c>
      <c r="BM30" s="2456"/>
      <c r="BN30" s="2448"/>
      <c r="BO30" s="2347" t="s">
        <v>2436</v>
      </c>
      <c r="CA30" s="75"/>
      <c r="CD30" s="69" t="s">
        <v>294</v>
      </c>
      <c r="CG30" s="7" t="s">
        <v>290</v>
      </c>
      <c r="CJ30" s="2604"/>
      <c r="CK30" s="2514"/>
    </row>
    <row r="31" spans="3:89" ht="85" x14ac:dyDescent="0.3">
      <c r="C31" s="49"/>
      <c r="D31" s="49"/>
      <c r="E31" s="49"/>
      <c r="F31" s="49"/>
      <c r="G31" s="49"/>
      <c r="H31" s="49"/>
      <c r="I31" s="49"/>
      <c r="J31" s="49"/>
      <c r="K31" s="49"/>
      <c r="L31" s="49"/>
      <c r="M31" s="49"/>
      <c r="N31" s="49"/>
      <c r="X31" s="36"/>
      <c r="AG31" s="593"/>
      <c r="AH31" s="706" t="s">
        <v>1642</v>
      </c>
      <c r="AI31" s="706" t="s">
        <v>1643</v>
      </c>
      <c r="AL31" s="5" t="s">
        <v>1059</v>
      </c>
      <c r="AS31" s="2" t="str">
        <f>D452</f>
        <v>Maturité de l'enfant de choisir</v>
      </c>
      <c r="AT31">
        <f>AD469</f>
        <v>1</v>
      </c>
      <c r="AU31">
        <f>AE469</f>
        <v>0</v>
      </c>
      <c r="AV31">
        <f>AF469</f>
        <v>0</v>
      </c>
      <c r="AX31" s="5">
        <v>22</v>
      </c>
      <c r="AY31" s="743" t="str">
        <f>D452</f>
        <v>Maturité de l'enfant de choisir</v>
      </c>
      <c r="AZ31" s="2152">
        <f>H464</f>
        <v>30</v>
      </c>
      <c r="BA31" s="742" t="s">
        <v>265</v>
      </c>
      <c r="BB31" s="740" t="str">
        <f t="shared" si="0"/>
        <v/>
      </c>
      <c r="BC31" s="743" t="str">
        <f>IF(L464="","",L464)</f>
        <v/>
      </c>
      <c r="BD31" s="744" t="s">
        <v>266</v>
      </c>
      <c r="BE31" s="740" t="str">
        <f t="shared" si="1"/>
        <v/>
      </c>
      <c r="BF31" s="743" t="str">
        <f>IF(N464="","",N464)</f>
        <v/>
      </c>
      <c r="BG31" s="745" t="s">
        <v>267</v>
      </c>
      <c r="BH31" s="740">
        <f t="shared" si="2"/>
        <v>30</v>
      </c>
      <c r="BI31" s="743" t="str">
        <f>IF(M464="","",M464)</f>
        <v>Bien que le parent demande à l'enfant avec qui il veut vivre l'enfant ne semble pas s'ingérer</v>
      </c>
      <c r="BL31" s="2452" t="s">
        <v>2491</v>
      </c>
      <c r="BM31" s="2456"/>
      <c r="BN31" s="2448"/>
      <c r="BO31" s="2347" t="s">
        <v>2436</v>
      </c>
      <c r="CA31" s="75"/>
      <c r="CD31" s="69"/>
      <c r="CG31" s="7"/>
      <c r="CJ31" s="704"/>
      <c r="CK31" s="8"/>
    </row>
    <row r="32" spans="3:89" ht="51" x14ac:dyDescent="0.3">
      <c r="C32" s="49"/>
      <c r="D32" s="49"/>
      <c r="E32" s="49"/>
      <c r="F32" s="49"/>
      <c r="G32" s="49"/>
      <c r="H32" s="49"/>
      <c r="I32" s="49"/>
      <c r="J32" s="49"/>
      <c r="K32" s="49"/>
      <c r="L32" s="49"/>
      <c r="M32" s="49"/>
      <c r="N32" s="49"/>
      <c r="X32" s="36"/>
      <c r="AG32" s="593"/>
      <c r="AH32" s="706"/>
      <c r="AI32" s="1812">
        <v>0.25</v>
      </c>
      <c r="AJ32" s="1812">
        <v>0.38</v>
      </c>
      <c r="AK32" s="1812">
        <f>1-AI32-AJ32</f>
        <v>0.37</v>
      </c>
      <c r="AS32" s="2" t="str">
        <f>D471</f>
        <v>Respecter les désirs de l'enfant</v>
      </c>
      <c r="AT32">
        <f>AD488</f>
        <v>1</v>
      </c>
      <c r="AU32">
        <f>AE488</f>
        <v>0</v>
      </c>
      <c r="AV32">
        <f>AF488</f>
        <v>1</v>
      </c>
      <c r="AX32" s="5">
        <v>23</v>
      </c>
      <c r="AY32" s="743" t="str">
        <f>D471</f>
        <v>Respecter les désirs de l'enfant</v>
      </c>
      <c r="AZ32" s="2152">
        <f>H483</f>
        <v>42</v>
      </c>
      <c r="BA32" s="742" t="s">
        <v>265</v>
      </c>
      <c r="BB32" s="740" t="str">
        <f t="shared" si="0"/>
        <v/>
      </c>
      <c r="BC32" s="743" t="str">
        <f>IF(L483="","",L483)</f>
        <v/>
      </c>
      <c r="BD32" s="744" t="s">
        <v>266</v>
      </c>
      <c r="BE32" s="740" t="str">
        <f t="shared" si="1"/>
        <v/>
      </c>
      <c r="BF32" s="743" t="str">
        <f>IF(N483="","",N483)</f>
        <v/>
      </c>
      <c r="BG32" s="745" t="s">
        <v>267</v>
      </c>
      <c r="BH32" s="740">
        <f t="shared" si="2"/>
        <v>42</v>
      </c>
      <c r="BI32" s="743" t="str">
        <f>IF(M483="","",M483)</f>
        <v>Bien que le parent Le nouveau conjoint.e vous demande de respecter les désirs et choix de l'enfant l'enfant ne semble pas s'ingérer</v>
      </c>
      <c r="BL32" s="2452" t="s">
        <v>2492</v>
      </c>
      <c r="BM32" s="2456"/>
      <c r="BN32" s="2448"/>
      <c r="BO32" s="2347" t="s">
        <v>2437</v>
      </c>
      <c r="CA32" s="75"/>
      <c r="CD32" s="69"/>
      <c r="CG32" s="7"/>
      <c r="CJ32" s="704"/>
      <c r="CK32" s="8"/>
    </row>
    <row r="33" spans="1:105" ht="85" x14ac:dyDescent="0.3">
      <c r="C33" s="49"/>
      <c r="D33" s="49"/>
      <c r="E33" s="49"/>
      <c r="F33" s="49"/>
      <c r="G33" s="49"/>
      <c r="H33" s="49"/>
      <c r="I33" s="49"/>
      <c r="J33" s="49"/>
      <c r="K33" s="49"/>
      <c r="L33" s="49"/>
      <c r="M33" s="49"/>
      <c r="N33" s="49"/>
      <c r="X33" s="36"/>
      <c r="AG33" s="1686"/>
      <c r="AH33" s="706" t="s">
        <v>1969</v>
      </c>
      <c r="AI33" s="706" t="s">
        <v>1970</v>
      </c>
      <c r="AJ33" s="5" t="s">
        <v>1971</v>
      </c>
      <c r="AK33" s="5" t="s">
        <v>1972</v>
      </c>
      <c r="AL33" s="90"/>
      <c r="AS33" s="2" t="str">
        <f>D490</f>
        <v>Demande / force l'enfant à choisir</v>
      </c>
      <c r="AT33">
        <f>AD507</f>
        <v>1</v>
      </c>
      <c r="AU33">
        <f>AE507</f>
        <v>1</v>
      </c>
      <c r="AV33">
        <f>AF507</f>
        <v>0</v>
      </c>
      <c r="AX33" s="5">
        <v>24</v>
      </c>
      <c r="AY33" s="743" t="str">
        <f>D490</f>
        <v>Demande / force l'enfant à choisir</v>
      </c>
      <c r="AZ33" s="2152">
        <f>H502</f>
        <v>21</v>
      </c>
      <c r="BA33" s="742" t="s">
        <v>265</v>
      </c>
      <c r="BB33" s="740" t="str">
        <f t="shared" si="0"/>
        <v/>
      </c>
      <c r="BC33" s="743" t="str">
        <f>IF(L502="","",L502)</f>
        <v/>
      </c>
      <c r="BD33" s="744" t="s">
        <v>266</v>
      </c>
      <c r="BE33" s="740" t="str">
        <f t="shared" si="1"/>
        <v/>
      </c>
      <c r="BF33" s="743" t="str">
        <f>IF(N502="","",N502)</f>
        <v/>
      </c>
      <c r="BG33" s="745" t="s">
        <v>267</v>
      </c>
      <c r="BH33" s="740">
        <f t="shared" si="2"/>
        <v>21</v>
      </c>
      <c r="BI33" s="743" t="str">
        <f>IF(M502="","",M502)</f>
        <v>Bien que le parent force l'enfant à choisir l'enfant ne semble pas s'ingérer</v>
      </c>
      <c r="BL33" s="2452" t="s">
        <v>2432</v>
      </c>
      <c r="BM33" s="2456" t="s">
        <v>2438</v>
      </c>
      <c r="BN33" s="2448"/>
      <c r="BO33" s="2459"/>
      <c r="CA33" s="75"/>
      <c r="CD33" s="69"/>
      <c r="CG33" s="7"/>
      <c r="CJ33" s="704"/>
      <c r="CK33" s="8"/>
    </row>
    <row r="34" spans="1:105" ht="34" x14ac:dyDescent="0.3">
      <c r="C34" s="49"/>
      <c r="D34" s="49"/>
      <c r="E34" s="49"/>
      <c r="F34" s="49"/>
      <c r="G34" s="49"/>
      <c r="H34" s="49"/>
      <c r="I34" s="49"/>
      <c r="J34" s="49"/>
      <c r="K34" s="49"/>
      <c r="L34" s="49"/>
      <c r="M34" s="49"/>
      <c r="N34" s="49"/>
      <c r="X34" s="36"/>
      <c r="AG34" s="1686">
        <f>AG17</f>
        <v>103</v>
      </c>
      <c r="AH34" s="90">
        <v>0</v>
      </c>
      <c r="AI34" s="90">
        <f>AJ17</f>
        <v>64</v>
      </c>
      <c r="AJ34" s="90">
        <f>AI34+((AL34-AI34)*(AI32))</f>
        <v>88</v>
      </c>
      <c r="AK34" s="90">
        <f>AJ34+((AL34-AJ34)*(AJ32))</f>
        <v>115.36</v>
      </c>
      <c r="AL34" s="90">
        <f>AK17</f>
        <v>160</v>
      </c>
      <c r="AS34" s="2" t="str">
        <f>D509</f>
        <v>Transport d'objets d'un domicile à l'autre</v>
      </c>
      <c r="AT34">
        <f>AD526</f>
        <v>2</v>
      </c>
      <c r="AU34">
        <f>AE526</f>
        <v>1</v>
      </c>
      <c r="AV34">
        <f>AF526</f>
        <v>1</v>
      </c>
      <c r="AX34" s="5">
        <v>25</v>
      </c>
      <c r="AY34" s="743" t="str">
        <f>D509</f>
        <v>Transport d'objets d'un domicile à l'autre</v>
      </c>
      <c r="AZ34" s="2152">
        <f>H521</f>
        <v>26</v>
      </c>
      <c r="BA34" s="742" t="s">
        <v>265</v>
      </c>
      <c r="BB34" s="740">
        <f t="shared" si="0"/>
        <v>26</v>
      </c>
      <c r="BC34" s="743" t="str">
        <f>IF(L521="","",L521)</f>
        <v>ne peut transporter ses objets d'une demeure à l'autre</v>
      </c>
      <c r="BD34" s="744" t="s">
        <v>266</v>
      </c>
      <c r="BE34" s="740" t="str">
        <f t="shared" si="1"/>
        <v/>
      </c>
      <c r="BF34" s="743" t="str">
        <f>IF(N521="","",N521)</f>
        <v/>
      </c>
      <c r="BG34" s="745" t="s">
        <v>267</v>
      </c>
      <c r="BH34" s="740" t="str">
        <f t="shared" si="2"/>
        <v/>
      </c>
      <c r="BI34" s="743" t="str">
        <f>IF(M521="","",M521)</f>
        <v/>
      </c>
      <c r="BL34" s="2452" t="s">
        <v>2460</v>
      </c>
      <c r="BM34" s="2456"/>
      <c r="BN34" s="2448"/>
      <c r="BO34" s="2459"/>
      <c r="CA34" s="75"/>
      <c r="CD34" s="38" t="s">
        <v>289</v>
      </c>
      <c r="CG34" s="7" t="s">
        <v>290</v>
      </c>
      <c r="CJ34" s="2605" t="s">
        <v>303</v>
      </c>
      <c r="CK34" s="2514" t="b">
        <v>0</v>
      </c>
      <c r="CY34" s="36" t="s">
        <v>1075</v>
      </c>
    </row>
    <row r="35" spans="1:105" ht="40" x14ac:dyDescent="0.3">
      <c r="C35" s="49"/>
      <c r="D35" s="49"/>
      <c r="E35" s="49"/>
      <c r="F35" s="49"/>
      <c r="G35" s="49"/>
      <c r="H35" s="49"/>
      <c r="I35" s="49"/>
      <c r="J35" s="49"/>
      <c r="K35" s="49"/>
      <c r="L35" s="49"/>
      <c r="M35" s="49"/>
      <c r="N35" s="49"/>
      <c r="X35" s="36"/>
      <c r="AS35" s="2" t="str">
        <f>D528</f>
        <v>Sérénité et confidence face à la séparation</v>
      </c>
      <c r="AT35">
        <f>AD545</f>
        <v>1</v>
      </c>
      <c r="AU35">
        <f>AE545</f>
        <v>1</v>
      </c>
      <c r="AV35">
        <f>AF545</f>
        <v>1</v>
      </c>
      <c r="AX35" s="5">
        <v>26</v>
      </c>
      <c r="AY35" s="743" t="str">
        <f>D528</f>
        <v>Sérénité et confidence face à la séparation</v>
      </c>
      <c r="AZ35" s="2152">
        <f>H541</f>
        <v>14</v>
      </c>
      <c r="BA35" s="742" t="s">
        <v>265</v>
      </c>
      <c r="BB35" s="740" t="str">
        <f t="shared" si="0"/>
        <v/>
      </c>
      <c r="BC35" s="743" t="str">
        <f>IF(L541="","",L541)</f>
        <v/>
      </c>
      <c r="BD35" s="744" t="s">
        <v>266</v>
      </c>
      <c r="BE35" s="740">
        <f t="shared" si="1"/>
        <v>14</v>
      </c>
      <c r="BF35" s="743" t="str">
        <f>IF(N541="","",N541)</f>
        <v>Sent le besoin de protéger le parent favorisé sans signe de la participation du parent favorisé et|ou nouveau conjoint.e</v>
      </c>
      <c r="BG35" s="745" t="s">
        <v>267</v>
      </c>
      <c r="BH35" s="740" t="str">
        <f t="shared" si="2"/>
        <v/>
      </c>
      <c r="BI35" s="743" t="str">
        <f>IF(M541="","",M541)</f>
        <v/>
      </c>
      <c r="BL35" s="2452" t="s">
        <v>2461</v>
      </c>
      <c r="BM35" s="2456"/>
      <c r="BN35" s="2448"/>
      <c r="BO35" s="2459"/>
      <c r="CA35" s="6"/>
      <c r="CD35" s="38" t="s">
        <v>294</v>
      </c>
      <c r="CG35" s="7" t="s">
        <v>290</v>
      </c>
      <c r="CJ35" s="2605"/>
      <c r="CK35" s="2514"/>
    </row>
    <row r="36" spans="1:105" ht="51" x14ac:dyDescent="0.3">
      <c r="C36" s="49"/>
      <c r="D36" s="49"/>
      <c r="E36" s="49"/>
      <c r="F36" s="49"/>
      <c r="G36" s="49"/>
      <c r="H36" s="49"/>
      <c r="I36" s="49"/>
      <c r="J36" s="49"/>
      <c r="K36" s="49"/>
      <c r="L36" s="49"/>
      <c r="M36" s="49"/>
      <c r="N36" s="49"/>
      <c r="X36" s="36" t="s">
        <v>2164</v>
      </c>
      <c r="AG36" s="593" t="s">
        <v>281</v>
      </c>
      <c r="AH36" s="3" t="s">
        <v>1531</v>
      </c>
      <c r="AI36" s="3"/>
      <c r="AJ36" s="3"/>
      <c r="AK36" s="3"/>
      <c r="AL36" s="1"/>
      <c r="AS36" s="2" t="e">
        <f>D551</f>
        <v>#REF!</v>
      </c>
      <c r="AT36">
        <f>AD568</f>
        <v>0</v>
      </c>
      <c r="AU36">
        <f>AE568</f>
        <v>1</v>
      </c>
      <c r="AV36">
        <f>AF568</f>
        <v>1</v>
      </c>
      <c r="AX36" s="5">
        <v>27</v>
      </c>
      <c r="AY36" s="89" t="str">
        <f>D694</f>
        <v>Défenseur du parent</v>
      </c>
      <c r="AZ36" s="2153">
        <f>H706</f>
        <v>0</v>
      </c>
      <c r="BA36" s="87"/>
      <c r="BB36" s="442"/>
      <c r="BC36" s="743"/>
      <c r="BD36" s="744" t="s">
        <v>266</v>
      </c>
      <c r="BE36" s="740" t="str">
        <f t="shared" si="1"/>
        <v/>
      </c>
      <c r="BF36" s="743" t="str">
        <f>IF(N706="","",N706)</f>
        <v/>
      </c>
      <c r="BG36" s="447"/>
      <c r="BH36" s="740"/>
      <c r="BI36" s="743"/>
      <c r="BL36" s="2452" t="s">
        <v>2461</v>
      </c>
      <c r="BM36" s="2456"/>
      <c r="BN36" s="2448"/>
      <c r="BO36" s="2347" t="s">
        <v>2437</v>
      </c>
      <c r="CY36" t="s">
        <v>1076</v>
      </c>
      <c r="CZ36" t="s">
        <v>1079</v>
      </c>
      <c r="DA36" t="s">
        <v>1080</v>
      </c>
    </row>
    <row r="37" spans="1:105" ht="53" x14ac:dyDescent="0.3">
      <c r="C37" s="49"/>
      <c r="D37" s="49"/>
      <c r="E37" s="49"/>
      <c r="F37" s="49"/>
      <c r="G37" s="49"/>
      <c r="H37" s="49"/>
      <c r="I37" s="49"/>
      <c r="J37" s="49"/>
      <c r="K37" s="49"/>
      <c r="L37" s="49"/>
      <c r="M37" s="49"/>
      <c r="N37" s="49"/>
      <c r="X37" s="36"/>
      <c r="AG37" s="593"/>
      <c r="AH37" s="706" t="s">
        <v>1642</v>
      </c>
      <c r="AI37" s="706" t="s">
        <v>1643</v>
      </c>
      <c r="AL37" s="5" t="s">
        <v>1059</v>
      </c>
      <c r="AS37" s="2" t="e">
        <f>D571</f>
        <v>#REF!</v>
      </c>
      <c r="AT37">
        <f>AD588</f>
        <v>0</v>
      </c>
      <c r="AU37">
        <f>AE588</f>
        <v>0</v>
      </c>
      <c r="AV37">
        <f>AF588</f>
        <v>1</v>
      </c>
      <c r="AX37" s="5">
        <v>28</v>
      </c>
      <c r="AY37" s="89" t="str">
        <f>D713</f>
        <v>Manque d'ambivalence</v>
      </c>
      <c r="AZ37" s="2153">
        <f>H726</f>
        <v>0</v>
      </c>
      <c r="BA37" s="87"/>
      <c r="BB37" s="442"/>
      <c r="BC37" s="743"/>
      <c r="BD37" s="744" t="s">
        <v>266</v>
      </c>
      <c r="BE37" s="740" t="str">
        <f t="shared" si="1"/>
        <v/>
      </c>
      <c r="BF37" s="743" t="str">
        <f>IF(N726="","",N726)</f>
        <v/>
      </c>
      <c r="BG37" s="447"/>
      <c r="BH37" s="740"/>
      <c r="BI37" s="743"/>
      <c r="BL37" s="2452" t="s">
        <v>2430</v>
      </c>
      <c r="BM37" s="2456"/>
      <c r="BN37" s="2448"/>
      <c r="BO37" s="2347" t="s">
        <v>2437</v>
      </c>
      <c r="CZ37" t="s">
        <v>1081</v>
      </c>
    </row>
    <row r="38" spans="1:105" ht="51" x14ac:dyDescent="0.3">
      <c r="C38" s="49"/>
      <c r="D38" s="49"/>
      <c r="E38" s="49"/>
      <c r="F38" s="49"/>
      <c r="G38" s="49"/>
      <c r="H38" s="49"/>
      <c r="I38" s="49"/>
      <c r="J38" s="49"/>
      <c r="K38" s="49"/>
      <c r="L38" s="49"/>
      <c r="M38" s="49"/>
      <c r="N38" s="49"/>
      <c r="AG38" s="593"/>
      <c r="AH38" s="706"/>
      <c r="AI38" s="1812">
        <v>0.25</v>
      </c>
      <c r="AJ38" s="1812">
        <v>0.38</v>
      </c>
      <c r="AK38" s="1812">
        <f>1-AI38-AJ38</f>
        <v>0.37</v>
      </c>
      <c r="AS38" s="2" t="e">
        <f>D591</f>
        <v>#REF!</v>
      </c>
      <c r="AT38">
        <f>AD608</f>
        <v>0</v>
      </c>
      <c r="AU38">
        <f>AE608</f>
        <v>0</v>
      </c>
      <c r="AV38">
        <f>AF608</f>
        <v>1</v>
      </c>
      <c r="AX38" s="5">
        <v>29</v>
      </c>
      <c r="AY38" s="89" t="str">
        <f>D733</f>
        <v>Propos d'adulte</v>
      </c>
      <c r="AZ38" s="2153">
        <f>H745</f>
        <v>4</v>
      </c>
      <c r="BA38" s="87"/>
      <c r="BB38" s="442"/>
      <c r="BC38" s="743"/>
      <c r="BD38" s="744" t="s">
        <v>266</v>
      </c>
      <c r="BE38" s="740" t="str">
        <f t="shared" si="1"/>
        <v/>
      </c>
      <c r="BF38" s="743" t="str">
        <f>IF(N745="","",N745)</f>
        <v/>
      </c>
      <c r="BG38" s="447"/>
      <c r="BH38" s="740"/>
      <c r="BI38" s="743"/>
      <c r="BL38" s="2452" t="s">
        <v>2496</v>
      </c>
      <c r="BM38" s="2456"/>
      <c r="BO38" s="2347" t="s">
        <v>2437</v>
      </c>
      <c r="CY38" t="s">
        <v>1077</v>
      </c>
    </row>
    <row r="39" spans="1:105" ht="51" x14ac:dyDescent="0.3">
      <c r="C39" s="49"/>
      <c r="D39" s="49"/>
      <c r="E39" s="49"/>
      <c r="F39" s="49"/>
      <c r="G39" s="49"/>
      <c r="H39" s="49"/>
      <c r="I39" s="49"/>
      <c r="J39" s="49"/>
      <c r="K39" s="49"/>
      <c r="L39" s="49"/>
      <c r="M39" s="49"/>
      <c r="N39" s="49"/>
      <c r="AG39" s="1686"/>
      <c r="AH39" s="706" t="s">
        <v>1969</v>
      </c>
      <c r="AI39" s="706" t="s">
        <v>1970</v>
      </c>
      <c r="AJ39" s="5" t="s">
        <v>1971</v>
      </c>
      <c r="AK39" s="5" t="s">
        <v>1972</v>
      </c>
      <c r="AL39" s="90"/>
      <c r="AS39" s="2" t="e">
        <f>D611</f>
        <v>#REF!</v>
      </c>
      <c r="AT39">
        <f>AD628</f>
        <v>0</v>
      </c>
      <c r="AU39">
        <f>AE628</f>
        <v>0</v>
      </c>
      <c r="AV39">
        <f>AF628</f>
        <v>1</v>
      </c>
      <c r="AX39" s="5">
        <v>30</v>
      </c>
      <c r="AY39" s="89" t="str">
        <f>D752</f>
        <v>Changement des ses valeurs</v>
      </c>
      <c r="AZ39" s="2153">
        <f>H764</f>
        <v>2</v>
      </c>
      <c r="BA39" s="87"/>
      <c r="BB39" s="442"/>
      <c r="BC39" s="2209"/>
      <c r="BD39" s="2210" t="s">
        <v>266</v>
      </c>
      <c r="BE39" s="446" t="str">
        <f t="shared" si="1"/>
        <v/>
      </c>
      <c r="BF39" s="2209" t="str">
        <f>IF(N764="","",N764)</f>
        <v/>
      </c>
      <c r="BG39" s="447"/>
      <c r="BH39" s="446"/>
      <c r="BI39" s="2209"/>
      <c r="BL39" s="2453" t="s">
        <v>2431</v>
      </c>
      <c r="BM39" s="2458"/>
      <c r="BO39" s="2347" t="s">
        <v>2437</v>
      </c>
    </row>
    <row r="40" spans="1:105" x14ac:dyDescent="0.3">
      <c r="C40" s="49"/>
      <c r="D40" s="49"/>
      <c r="E40" s="49"/>
      <c r="F40" s="49"/>
      <c r="G40" s="49"/>
      <c r="H40" s="49"/>
      <c r="I40" s="49"/>
      <c r="J40" s="49"/>
      <c r="K40" s="49"/>
      <c r="L40" s="49"/>
      <c r="M40" s="49"/>
      <c r="N40" s="49"/>
      <c r="AG40" s="1686">
        <f>'Modèle Calcul A-R + Sommaire'!BK46</f>
        <v>0</v>
      </c>
      <c r="AH40" s="90">
        <v>0</v>
      </c>
      <c r="AI40" s="90">
        <f>AJ15</f>
        <v>103</v>
      </c>
      <c r="AJ40" s="90">
        <f>AI40+((AL40-AI40)*(AI38))</f>
        <v>134.75</v>
      </c>
      <c r="AK40" s="90">
        <f>AJ40+((AL40-AJ40)*(AJ38))</f>
        <v>170.94499999999999</v>
      </c>
      <c r="AL40" s="90">
        <f>AK15</f>
        <v>230</v>
      </c>
      <c r="AS40" s="2" t="str">
        <f>D652</f>
        <v>Respect de l'ordonnance de garde</v>
      </c>
      <c r="AT40">
        <f>AD669</f>
        <v>0</v>
      </c>
      <c r="AU40">
        <f>AE669</f>
        <v>0</v>
      </c>
      <c r="AV40">
        <f>AF669</f>
        <v>0</v>
      </c>
      <c r="AY40" s="734"/>
      <c r="AZ40" s="734"/>
      <c r="BA40" s="87"/>
      <c r="BB40" s="442"/>
      <c r="BC40" s="89"/>
      <c r="BD40" s="446"/>
      <c r="BE40" s="446"/>
      <c r="BF40" s="89"/>
      <c r="BG40" s="447"/>
      <c r="BH40" s="447"/>
      <c r="BI40" s="443"/>
      <c r="BL40" s="2454" t="s">
        <v>2028</v>
      </c>
      <c r="BM40" s="2454"/>
    </row>
    <row r="41" spans="1:105" ht="409" customHeight="1" x14ac:dyDescent="0.3">
      <c r="C41" s="49"/>
      <c r="D41" s="49"/>
      <c r="E41" s="49"/>
      <c r="F41" s="49"/>
      <c r="G41" s="49"/>
      <c r="H41" s="49"/>
      <c r="I41" s="49"/>
      <c r="J41" s="49"/>
      <c r="K41" s="49"/>
      <c r="L41" s="49"/>
      <c r="M41" s="49"/>
      <c r="N41" s="49"/>
      <c r="AS41" s="53" t="str">
        <f>D675</f>
        <v>En compétition avec l'autre</v>
      </c>
      <c r="AT41" s="7">
        <f>AD692</f>
        <v>1</v>
      </c>
      <c r="AU41" s="7">
        <f t="shared" ref="AU41:AV41" si="16">AE692</f>
        <v>0</v>
      </c>
      <c r="AV41" s="7">
        <f t="shared" si="16"/>
        <v>1</v>
      </c>
      <c r="AX41" s="7"/>
      <c r="AY41" s="2153">
        <f>AVERAGE(AZ10:AZ39)</f>
        <v>16.466666666666665</v>
      </c>
      <c r="AZ41" s="734"/>
      <c r="BA41" s="87"/>
      <c r="BB41" s="442"/>
      <c r="BC41" s="89"/>
      <c r="BD41" s="446"/>
      <c r="BE41" s="446"/>
      <c r="BF41" s="89"/>
      <c r="BG41" s="447"/>
      <c r="BH41" s="447"/>
      <c r="BI41" s="443"/>
      <c r="BN41" s="25"/>
      <c r="BO41" s="2460"/>
      <c r="BP41" s="7"/>
      <c r="BQ41" s="7"/>
      <c r="BR41" s="7"/>
      <c r="BS41" s="7"/>
      <c r="BT41" s="7"/>
      <c r="BU41" s="7"/>
      <c r="BV41" s="7"/>
      <c r="BW41" s="7"/>
      <c r="BX41" s="7"/>
      <c r="BY41" s="7"/>
      <c r="BZ41" s="7"/>
      <c r="CY41" t="s">
        <v>1078</v>
      </c>
    </row>
    <row r="42" spans="1:105" x14ac:dyDescent="0.3">
      <c r="C42" s="49"/>
      <c r="D42" s="49"/>
      <c r="E42" s="49"/>
      <c r="F42" s="49"/>
      <c r="G42" s="49"/>
      <c r="H42" s="49"/>
      <c r="I42" s="49"/>
      <c r="J42" s="49"/>
      <c r="K42" s="49"/>
      <c r="L42" s="49"/>
      <c r="M42" s="49"/>
      <c r="N42" s="49"/>
      <c r="AS42" s="53" t="str">
        <f>D694</f>
        <v>Défenseur du parent</v>
      </c>
      <c r="AT42" s="7">
        <f>AD711</f>
        <v>0</v>
      </c>
      <c r="AU42" s="7">
        <f t="shared" ref="AU42:AV42" si="17">AE711</f>
        <v>1</v>
      </c>
      <c r="AV42" s="7">
        <f t="shared" si="17"/>
        <v>0</v>
      </c>
      <c r="AX42" s="7"/>
      <c r="AY42" s="734"/>
      <c r="AZ42" s="734"/>
      <c r="BA42" s="87"/>
      <c r="BB42" s="442"/>
      <c r="BC42" s="89"/>
      <c r="BD42" s="446"/>
      <c r="BE42" s="446"/>
      <c r="BF42" s="89"/>
      <c r="BG42" s="447"/>
      <c r="BH42" s="447"/>
      <c r="BI42" s="443"/>
      <c r="BN42" s="25"/>
      <c r="BP42" s="7"/>
      <c r="BQ42" s="7"/>
      <c r="BR42" s="7"/>
      <c r="BS42" s="7"/>
      <c r="BT42" s="7"/>
      <c r="BU42" s="7"/>
      <c r="BV42" s="7"/>
      <c r="BW42" s="7"/>
      <c r="BX42" s="7"/>
      <c r="BY42" s="7"/>
      <c r="BZ42" s="7"/>
    </row>
    <row r="43" spans="1:105" x14ac:dyDescent="0.3">
      <c r="C43" s="49"/>
      <c r="D43" s="49"/>
      <c r="E43" s="49"/>
      <c r="F43" s="49"/>
      <c r="G43" s="49"/>
      <c r="H43" s="49"/>
      <c r="I43" s="49"/>
      <c r="J43" s="49"/>
      <c r="K43" s="49"/>
      <c r="L43" s="49"/>
      <c r="M43" s="49"/>
      <c r="N43" s="49"/>
      <c r="AS43" s="53" t="str">
        <f>D713</f>
        <v>Manque d'ambivalence</v>
      </c>
      <c r="AT43" s="7">
        <f>AD731</f>
        <v>0</v>
      </c>
      <c r="AU43" s="7">
        <f t="shared" ref="AU43:AV43" si="18">AE731</f>
        <v>0</v>
      </c>
      <c r="AV43" s="7">
        <f t="shared" si="18"/>
        <v>0</v>
      </c>
      <c r="AX43" s="7"/>
      <c r="AY43" s="734"/>
      <c r="AZ43" s="734"/>
      <c r="BA43" s="87"/>
      <c r="BB43" s="442"/>
      <c r="BC43" s="89"/>
      <c r="BD43" s="446"/>
      <c r="BE43" s="446"/>
      <c r="BF43" s="89"/>
      <c r="BG43" s="447"/>
      <c r="BH43" s="447"/>
      <c r="BI43" s="443"/>
      <c r="BN43" s="25"/>
      <c r="BP43" s="7"/>
      <c r="BQ43" s="7"/>
      <c r="BR43" s="7"/>
      <c r="BS43" s="7"/>
      <c r="BT43" s="7"/>
      <c r="BU43" s="7"/>
      <c r="BV43" s="7"/>
      <c r="BW43" s="7"/>
      <c r="BX43" s="7"/>
      <c r="BY43" s="7"/>
      <c r="BZ43" s="7"/>
    </row>
    <row r="44" spans="1:105" x14ac:dyDescent="0.3">
      <c r="C44" s="49"/>
      <c r="D44" s="49"/>
      <c r="E44" s="49"/>
      <c r="F44" s="49"/>
      <c r="G44" s="49"/>
      <c r="H44" s="49"/>
      <c r="I44" s="49"/>
      <c r="J44" s="49"/>
      <c r="K44" s="49"/>
      <c r="L44" s="49"/>
      <c r="M44" s="49"/>
      <c r="N44" s="49"/>
      <c r="AS44" s="53" t="str">
        <f>D733</f>
        <v>Propos d'adulte</v>
      </c>
      <c r="AT44" s="7">
        <f>AD750</f>
        <v>0</v>
      </c>
      <c r="AU44" s="7">
        <f t="shared" ref="AU44:AV44" si="19">AE750</f>
        <v>1</v>
      </c>
      <c r="AV44" s="7">
        <f t="shared" si="19"/>
        <v>0</v>
      </c>
      <c r="AX44" s="7"/>
      <c r="AY44" s="734"/>
      <c r="AZ44" s="734"/>
      <c r="BA44" s="87"/>
      <c r="BB44" s="442"/>
      <c r="BC44" s="89"/>
      <c r="BD44" s="446"/>
      <c r="BE44" s="446"/>
      <c r="BF44" s="89"/>
      <c r="BG44" s="447"/>
      <c r="BH44" s="447"/>
      <c r="BI44" s="443"/>
      <c r="BN44" s="25"/>
      <c r="BP44" s="7"/>
      <c r="BQ44" s="7"/>
      <c r="BR44" s="7"/>
      <c r="BS44" s="7"/>
      <c r="BT44" s="7"/>
      <c r="BU44" s="7"/>
      <c r="BV44" s="7"/>
      <c r="BW44" s="7"/>
      <c r="BX44" s="7"/>
      <c r="BY44" s="7"/>
      <c r="BZ44" s="7"/>
    </row>
    <row r="45" spans="1:105" x14ac:dyDescent="0.3">
      <c r="A45" s="2538" t="s">
        <v>2078</v>
      </c>
      <c r="C45" s="49"/>
      <c r="D45" s="49"/>
      <c r="E45" s="49"/>
      <c r="F45" s="49"/>
      <c r="G45" s="49"/>
      <c r="H45" s="49"/>
      <c r="I45" s="49"/>
      <c r="J45" s="49"/>
      <c r="K45" s="49"/>
      <c r="L45" s="49"/>
      <c r="M45" s="49"/>
      <c r="N45" s="49"/>
      <c r="AS45" s="53" t="str">
        <f>D752</f>
        <v>Changement des ses valeurs</v>
      </c>
      <c r="AT45" s="7">
        <f>AD769</f>
        <v>0</v>
      </c>
      <c r="AU45" s="7">
        <f t="shared" ref="AU45:AV45" si="20">AE769</f>
        <v>0</v>
      </c>
      <c r="AV45" s="7">
        <f t="shared" si="20"/>
        <v>0</v>
      </c>
      <c r="AX45" s="7"/>
      <c r="AY45" s="734"/>
      <c r="AZ45" s="734"/>
      <c r="BA45" s="87"/>
      <c r="BB45" s="442"/>
      <c r="BC45" s="89"/>
      <c r="BD45" s="446"/>
      <c r="BE45" s="446"/>
      <c r="BF45" s="89"/>
      <c r="BG45" s="447"/>
      <c r="BH45" s="447"/>
      <c r="BI45" s="443"/>
      <c r="BN45" s="25"/>
      <c r="BP45" s="7"/>
      <c r="BQ45" s="7"/>
      <c r="BR45" s="7"/>
      <c r="BS45" s="7"/>
      <c r="BT45" s="7"/>
      <c r="BU45" s="7"/>
      <c r="BV45" s="7"/>
      <c r="BW45" s="7"/>
      <c r="BX45" s="7"/>
      <c r="BY45" s="7"/>
      <c r="BZ45" s="7"/>
    </row>
    <row r="46" spans="1:105" x14ac:dyDescent="0.3">
      <c r="A46" s="2538"/>
      <c r="E46" s="732"/>
      <c r="F46" s="1776"/>
      <c r="G46" s="1776"/>
      <c r="H46" s="1776"/>
      <c r="I46" s="73"/>
      <c r="J46" s="73"/>
      <c r="K46" s="73"/>
      <c r="L46" s="733"/>
      <c r="M46" s="733"/>
      <c r="N46" s="733"/>
      <c r="O46" s="73"/>
      <c r="P46" s="73"/>
      <c r="Q46" s="73"/>
      <c r="R46" s="73"/>
      <c r="S46" s="73"/>
      <c r="T46" s="73"/>
      <c r="U46" s="73"/>
      <c r="V46" s="73"/>
      <c r="W46" s="1373"/>
      <c r="X46" s="1231"/>
      <c r="Y46" s="1231"/>
      <c r="Z46" s="1231"/>
      <c r="AA46" s="1231"/>
      <c r="AV46" s="7"/>
      <c r="AX46" s="7"/>
      <c r="AY46" s="734"/>
      <c r="AZ46" s="734"/>
      <c r="BA46" s="87"/>
      <c r="BB46" s="442"/>
      <c r="BC46" s="89"/>
      <c r="BD46" s="446"/>
      <c r="BE46" s="446"/>
      <c r="BF46" s="89"/>
      <c r="BG46" s="447"/>
      <c r="BH46" s="447"/>
      <c r="BI46" s="443"/>
      <c r="BN46" s="25"/>
      <c r="BP46" s="7"/>
      <c r="BQ46" s="7"/>
      <c r="BR46" s="7"/>
      <c r="BS46" s="7"/>
      <c r="BT46" s="7"/>
      <c r="BU46" s="7"/>
      <c r="BV46" s="7"/>
      <c r="BW46" s="7"/>
      <c r="BX46" s="7"/>
      <c r="BY46" s="7"/>
      <c r="BZ46" s="7"/>
    </row>
    <row r="47" spans="1:105" ht="30" thickBot="1" x14ac:dyDescent="0.4">
      <c r="A47" s="2538"/>
      <c r="C47" s="432" t="s">
        <v>1007</v>
      </c>
      <c r="F47" s="91"/>
      <c r="G47" s="1057"/>
      <c r="H47" s="91"/>
      <c r="AB47" s="9" t="s">
        <v>1990</v>
      </c>
      <c r="AV47" s="7"/>
      <c r="AX47" s="7"/>
      <c r="AY47" s="734"/>
      <c r="AZ47" s="734"/>
      <c r="BA47" s="87"/>
      <c r="BB47" s="442"/>
      <c r="BC47" s="89"/>
      <c r="BD47" s="446"/>
      <c r="BE47" s="446"/>
      <c r="BF47" s="89"/>
      <c r="BG47" s="447"/>
      <c r="BH47" s="447"/>
      <c r="BI47" s="443"/>
      <c r="BN47" s="25"/>
      <c r="BP47" s="7"/>
      <c r="BQ47" s="7"/>
      <c r="BR47" s="7"/>
      <c r="BS47" s="7"/>
      <c r="BT47" s="7"/>
      <c r="BU47" s="7"/>
      <c r="BV47" s="7"/>
      <c r="BW47" s="7"/>
      <c r="BX47" s="7"/>
      <c r="BY47" s="7"/>
      <c r="BZ47" s="7"/>
    </row>
    <row r="48" spans="1:105" x14ac:dyDescent="0.3">
      <c r="A48" s="2538"/>
      <c r="E48" s="85" t="s">
        <v>268</v>
      </c>
      <c r="F48" s="1340"/>
      <c r="G48" s="1340"/>
      <c r="H48" s="1340"/>
      <c r="I48" s="2609" t="s">
        <v>1090</v>
      </c>
      <c r="J48" s="2610"/>
      <c r="K48" s="2611"/>
      <c r="L48" s="2603"/>
      <c r="M48" s="2603"/>
      <c r="N48" s="2603"/>
      <c r="O48" s="1347"/>
      <c r="P48" s="2606" t="s">
        <v>1089</v>
      </c>
      <c r="Q48" s="2607"/>
      <c r="R48" s="2608"/>
      <c r="S48" s="1394" t="s">
        <v>1088</v>
      </c>
      <c r="T48" s="1346"/>
      <c r="U48" s="1347"/>
      <c r="V48" s="73"/>
      <c r="AD48" s="10"/>
      <c r="AE48" s="10"/>
      <c r="AF48" s="10"/>
      <c r="AV48" s="7"/>
      <c r="AX48" s="7"/>
      <c r="AY48" s="734"/>
      <c r="AZ48" s="734"/>
      <c r="BA48" s="87"/>
      <c r="BB48" s="442"/>
      <c r="BC48" s="89"/>
      <c r="BD48" s="446"/>
      <c r="BE48" s="446"/>
      <c r="BF48" s="89"/>
      <c r="BG48" s="447"/>
      <c r="BH48" s="447"/>
      <c r="BI48" s="443"/>
      <c r="BN48" s="25"/>
      <c r="BP48" s="7"/>
      <c r="BQ48" s="7"/>
      <c r="BR48" s="7"/>
      <c r="BS48" s="7"/>
      <c r="BT48" s="7"/>
      <c r="BU48" s="7"/>
      <c r="BV48" s="7"/>
      <c r="BW48" s="7"/>
      <c r="BX48" s="7"/>
      <c r="BY48" s="7"/>
      <c r="BZ48" s="7"/>
    </row>
    <row r="49" spans="1:78" x14ac:dyDescent="0.3">
      <c r="B49" s="1699">
        <v>1</v>
      </c>
      <c r="D49" s="441" t="str">
        <f>'Cpts AR +indép + Sommaire'!B8</f>
        <v>Demande de garder des secrets</v>
      </c>
      <c r="E49" s="84"/>
      <c r="F49" s="50"/>
      <c r="G49" s="18"/>
      <c r="H49" s="18"/>
      <c r="I49" s="2595" t="s">
        <v>604</v>
      </c>
      <c r="J49" s="2596"/>
      <c r="K49" s="2596"/>
      <c r="L49" s="2597" t="s">
        <v>1086</v>
      </c>
      <c r="M49" s="2597"/>
      <c r="N49" s="2597"/>
      <c r="O49" s="2598"/>
      <c r="P49" s="2599" t="s">
        <v>603</v>
      </c>
      <c r="Q49" s="2600"/>
      <c r="R49" s="2601"/>
      <c r="S49" s="2590" t="s">
        <v>605</v>
      </c>
      <c r="T49" s="2591"/>
      <c r="U49" s="2592"/>
      <c r="V49" s="15"/>
      <c r="W49" s="817"/>
      <c r="X49" s="817"/>
      <c r="Y49" s="817"/>
      <c r="Z49" s="817"/>
      <c r="AA49" s="817"/>
      <c r="AB49" s="818"/>
      <c r="AD49" s="10"/>
      <c r="AE49" s="10"/>
      <c r="AF49" s="10"/>
      <c r="AG49" s="1386" t="s">
        <v>604</v>
      </c>
      <c r="AH49" s="1386" t="s">
        <v>603</v>
      </c>
      <c r="AI49" s="1386" t="s">
        <v>605</v>
      </c>
      <c r="AJ49" s="2589" t="s">
        <v>604</v>
      </c>
      <c r="AK49" s="2589"/>
      <c r="AL49" s="2589" t="s">
        <v>603</v>
      </c>
      <c r="AM49" s="2589"/>
      <c r="AN49" s="2589" t="s">
        <v>605</v>
      </c>
      <c r="AO49" s="2589"/>
      <c r="AV49" s="7"/>
      <c r="AX49" s="7"/>
      <c r="AY49" s="734"/>
      <c r="AZ49" s="734"/>
      <c r="BA49" s="87"/>
      <c r="BB49" s="442"/>
      <c r="BC49" s="89"/>
      <c r="BD49" s="446"/>
      <c r="BE49" s="446"/>
      <c r="BF49" s="89"/>
      <c r="BG49" s="447"/>
      <c r="BH49" s="447"/>
      <c r="BI49" s="443"/>
      <c r="BN49" s="25"/>
      <c r="BP49" s="7"/>
      <c r="BQ49" s="7"/>
      <c r="BR49" s="7"/>
      <c r="BS49" s="7"/>
      <c r="BT49" s="7"/>
      <c r="BU49" s="7"/>
      <c r="BV49" s="7"/>
      <c r="BW49" s="7"/>
      <c r="BX49" s="7"/>
      <c r="BY49" s="7"/>
      <c r="BZ49" s="7"/>
    </row>
    <row r="50" spans="1:78" ht="34" x14ac:dyDescent="0.2">
      <c r="B50" s="1700"/>
      <c r="D50" s="79" t="s">
        <v>779</v>
      </c>
      <c r="E50" s="835" t="s">
        <v>778</v>
      </c>
      <c r="F50" s="26" t="s">
        <v>226</v>
      </c>
      <c r="G50" s="26" t="s">
        <v>22</v>
      </c>
      <c r="H50" s="26" t="s">
        <v>612</v>
      </c>
      <c r="I50" s="1348" t="s">
        <v>269</v>
      </c>
      <c r="J50" s="29" t="s">
        <v>270</v>
      </c>
      <c r="K50" s="29" t="s">
        <v>271</v>
      </c>
      <c r="L50" s="29" t="s">
        <v>363</v>
      </c>
      <c r="M50" s="29" t="s">
        <v>339</v>
      </c>
      <c r="N50" s="29" t="s">
        <v>340</v>
      </c>
      <c r="O50" s="1349" t="s">
        <v>341</v>
      </c>
      <c r="P50" s="1348" t="s">
        <v>269</v>
      </c>
      <c r="Q50" s="29" t="s">
        <v>270</v>
      </c>
      <c r="R50" s="1349" t="s">
        <v>271</v>
      </c>
      <c r="S50" s="1348" t="s">
        <v>269</v>
      </c>
      <c r="T50" s="29" t="s">
        <v>270</v>
      </c>
      <c r="U50" s="1349" t="s">
        <v>271</v>
      </c>
      <c r="V50" s="736"/>
      <c r="W50" s="827" t="s">
        <v>604</v>
      </c>
      <c r="X50" s="828" t="s">
        <v>754</v>
      </c>
      <c r="Y50" s="827" t="s">
        <v>603</v>
      </c>
      <c r="Z50" s="828" t="s">
        <v>755</v>
      </c>
      <c r="AA50" s="827" t="s">
        <v>605</v>
      </c>
      <c r="AB50" s="828" t="s">
        <v>756</v>
      </c>
      <c r="AD50" s="10"/>
      <c r="AE50" s="10"/>
      <c r="AF50" s="10"/>
      <c r="AG50" s="10"/>
      <c r="AH50" s="10"/>
      <c r="AI50" s="10"/>
      <c r="AJ50" s="1490" t="s">
        <v>1058</v>
      </c>
      <c r="AK50" s="1490" t="s">
        <v>1059</v>
      </c>
      <c r="AL50" s="1490" t="s">
        <v>1058</v>
      </c>
      <c r="AM50" s="1490" t="s">
        <v>1059</v>
      </c>
      <c r="AN50" s="1490" t="s">
        <v>1058</v>
      </c>
      <c r="AO50" s="1490" t="s">
        <v>1059</v>
      </c>
      <c r="AV50" s="7"/>
      <c r="AX50" s="7"/>
      <c r="AY50" s="734"/>
      <c r="AZ50" s="734"/>
      <c r="BA50" s="87"/>
      <c r="BB50" s="442"/>
      <c r="BC50" s="89"/>
      <c r="BD50" s="446"/>
      <c r="BE50" s="446"/>
      <c r="BF50" s="89"/>
      <c r="BG50" s="447"/>
      <c r="BH50" s="447"/>
      <c r="BI50" s="443"/>
      <c r="BN50" s="25"/>
      <c r="BP50" s="7"/>
      <c r="BQ50" s="7"/>
      <c r="BR50" s="7"/>
      <c r="BS50" s="7"/>
      <c r="BT50" s="7"/>
      <c r="BU50" s="7"/>
      <c r="BV50" s="7"/>
      <c r="BW50" s="7"/>
      <c r="BX50" s="7"/>
      <c r="BY50" s="7"/>
      <c r="BZ50" s="7"/>
    </row>
    <row r="51" spans="1:78" ht="34" x14ac:dyDescent="0.2">
      <c r="A51" t="str">
        <f>IF(Test_Bible!B170="","F","O")</f>
        <v>O</v>
      </c>
      <c r="B51" s="1701" t="str">
        <f>'Cpts AR +indép + Sommaire'!G8</f>
        <v>Rôle actif de l'enfant</v>
      </c>
      <c r="C51" s="379" t="str">
        <f>'Cpts AR +indép + Sommaire'!C8</f>
        <v>PFA03</v>
      </c>
      <c r="D51" s="25" t="str">
        <f>'Cpts AR +indép + Sommaire'!D8</f>
        <v>Selon vous, dans quelle mesure l'autre parent demande à votre enfant de garder des secrets ou de vous cacher des choses ?</v>
      </c>
      <c r="E51" s="78" t="s">
        <v>365</v>
      </c>
      <c r="F51" s="709">
        <f>'Cpts AR +indép + Sommaire'!E8</f>
        <v>7</v>
      </c>
      <c r="G51" s="708">
        <f>'Cpts AR +indép + Sommaire'!F8</f>
        <v>3</v>
      </c>
      <c r="H51" s="709">
        <f>F51*G51</f>
        <v>21</v>
      </c>
      <c r="I51" s="1350">
        <v>4</v>
      </c>
      <c r="J51" s="1343">
        <v>10</v>
      </c>
      <c r="K51" s="31" t="b">
        <f>IF(AND(F51&gt;=I51,F51&lt;=J51),TRUE,FALSE)</f>
        <v>1</v>
      </c>
      <c r="L51" s="31"/>
      <c r="M51" s="31"/>
      <c r="N51" s="31"/>
      <c r="O51" s="1351"/>
      <c r="P51" s="1350">
        <v>2</v>
      </c>
      <c r="Q51" s="1343">
        <v>7</v>
      </c>
      <c r="R51" s="1351" t="b">
        <f>IF(AND(F51&gt;=P51,F51&lt;=Q51),TRUE,FALSE)</f>
        <v>1</v>
      </c>
      <c r="S51" s="1374">
        <v>11</v>
      </c>
      <c r="T51" s="1375">
        <v>11</v>
      </c>
      <c r="U51" s="1351" t="b">
        <f>IF(AND(F51&gt;=S51,F51&lt;=T51),TRUE,FALSE)</f>
        <v>0</v>
      </c>
      <c r="V51" s="807"/>
      <c r="W51" s="819"/>
      <c r="X51" s="820"/>
      <c r="Y51" s="819"/>
      <c r="Z51" s="820"/>
      <c r="AA51" s="819"/>
      <c r="AB51" s="820"/>
      <c r="AD51" s="10"/>
      <c r="AE51" s="10"/>
      <c r="AF51" s="10"/>
      <c r="AG51" s="832">
        <f>IF($K51=TRUE,H51,0)</f>
        <v>21</v>
      </c>
      <c r="AH51" s="832">
        <f>IF($R51=TRUE,H51,0)</f>
        <v>21</v>
      </c>
      <c r="AI51" s="832">
        <f>IF($U51=TRUE,H51,0)</f>
        <v>0</v>
      </c>
      <c r="AJ51" s="1490">
        <f>IF(OR(I51=11,A51="F"),0,G51*I51)</f>
        <v>12</v>
      </c>
      <c r="AK51" s="1490">
        <f>IF(OR(J51=11,A51="F"),0,G51*J51)</f>
        <v>30</v>
      </c>
      <c r="AL51" s="1490">
        <f>IF(OR(P51=11,A51="F"),0,G51*P51)</f>
        <v>6</v>
      </c>
      <c r="AM51" s="1490">
        <f>IF(OR(Q51=11,A51="F"),0,G51*Q51)</f>
        <v>21</v>
      </c>
      <c r="AN51" s="1490">
        <f>IF(OR(S51=11,A51="F"),0,S51*G51)</f>
        <v>0</v>
      </c>
      <c r="AO51" s="1490">
        <f>IF(OR(T51=11,A51="F"),0,T51*G51)</f>
        <v>0</v>
      </c>
      <c r="AY51" s="734"/>
      <c r="AZ51" s="734"/>
      <c r="BA51" s="87"/>
      <c r="BB51" s="442"/>
      <c r="BC51" s="89"/>
      <c r="BD51" s="446"/>
      <c r="BE51" s="446"/>
      <c r="BF51" s="89"/>
      <c r="BG51" s="447"/>
      <c r="BH51" s="447"/>
      <c r="BI51" s="443"/>
    </row>
    <row r="52" spans="1:78" ht="19" x14ac:dyDescent="0.2">
      <c r="B52" s="1700"/>
      <c r="C52" s="379"/>
      <c r="D52" s="25"/>
      <c r="E52" s="78"/>
      <c r="F52" s="709"/>
      <c r="G52" s="708"/>
      <c r="H52" s="709">
        <f>F52*G52</f>
        <v>0</v>
      </c>
      <c r="I52" s="1374">
        <v>11</v>
      </c>
      <c r="J52" s="1375">
        <v>11</v>
      </c>
      <c r="K52" s="31" t="b">
        <f>IF(AND(F52&gt;=I52,F52&lt;=J52),TRUE,FALSE)</f>
        <v>0</v>
      </c>
      <c r="L52" s="31"/>
      <c r="M52" s="31"/>
      <c r="N52" s="31"/>
      <c r="O52" s="1351"/>
      <c r="P52" s="1374">
        <v>11</v>
      </c>
      <c r="Q52" s="1375">
        <v>11</v>
      </c>
      <c r="R52" s="1351" t="b">
        <f>IF(AND(F52&gt;=P52,F52&lt;=Q52),TRUE,FALSE)</f>
        <v>0</v>
      </c>
      <c r="S52" s="1374">
        <v>11</v>
      </c>
      <c r="T52" s="1375">
        <v>11</v>
      </c>
      <c r="U52" s="1351" t="b">
        <f>IF(AND(F52&gt;=S52,F52&lt;=T52),TRUE,FALSE)</f>
        <v>0</v>
      </c>
      <c r="V52" s="807"/>
      <c r="W52" s="821"/>
      <c r="X52" s="822"/>
      <c r="Y52" s="821"/>
      <c r="Z52" s="822"/>
      <c r="AA52" s="821"/>
      <c r="AB52" s="822"/>
      <c r="AD52" s="10"/>
      <c r="AE52" s="10"/>
      <c r="AF52" s="10"/>
      <c r="AG52" s="832">
        <f>IF($K52=TRUE,H52,0)</f>
        <v>0</v>
      </c>
      <c r="AH52" s="832">
        <f>IF($R52=TRUE,H52,0)</f>
        <v>0</v>
      </c>
      <c r="AI52" s="832">
        <f>IF($U52=TRUE,H52,0)</f>
        <v>0</v>
      </c>
      <c r="AJ52" s="1490">
        <f>IF(OR(I52=11,A52="F"),0,G52*I52)</f>
        <v>0</v>
      </c>
      <c r="AK52" s="1490">
        <f>IF(OR(J52=11,A52="F"),0,G52*J52)</f>
        <v>0</v>
      </c>
      <c r="AL52" s="1490">
        <f>IF(OR(P52=11,A52="F"),0,G52*P52)</f>
        <v>0</v>
      </c>
      <c r="AM52" s="1490">
        <f>IF(OR(Q52=11,A52="F"),0,G52*Q52)</f>
        <v>0</v>
      </c>
      <c r="AN52" s="1490">
        <f>IF(OR(S52=11,A52="F"),0,S52*G52)</f>
        <v>0</v>
      </c>
      <c r="AO52" s="1490">
        <f>IF(OR(T52=11,A52="F"),0,T52*G52)</f>
        <v>0</v>
      </c>
      <c r="AY52" s="734"/>
      <c r="AZ52" s="734"/>
      <c r="BA52" s="87"/>
      <c r="BB52" s="442"/>
      <c r="BC52" s="89"/>
      <c r="BD52" s="446"/>
      <c r="BE52" s="446"/>
      <c r="BF52" s="89"/>
      <c r="BG52" s="447"/>
      <c r="BH52" s="447"/>
      <c r="BI52" s="443"/>
    </row>
    <row r="53" spans="1:78" ht="34" x14ac:dyDescent="0.2">
      <c r="B53" s="1700"/>
      <c r="C53" s="710" t="s">
        <v>609</v>
      </c>
      <c r="D53" s="711" t="str">
        <f>_xlfn.XLOOKUP(H53,H51:H52,D51:D52)</f>
        <v>Selon vous, dans quelle mesure l'autre parent demande à votre enfant de garder des secrets ou de vous cacher des choses ?</v>
      </c>
      <c r="E53" s="712" t="str">
        <f>_xlfn.XLOOKUP(H53,H51:H52,E51:E52)</f>
        <v>demande de garder des secrets | cacher des choses</v>
      </c>
      <c r="F53" s="713"/>
      <c r="G53" s="713"/>
      <c r="H53" s="713">
        <f>IF(AND(K51=TRUE,K52=FALSE),H51,IF(AND(K51=FALSE,K52=TRUE),H52,MAX(H51,H52)))</f>
        <v>21</v>
      </c>
      <c r="I53" s="1352"/>
      <c r="J53" s="714"/>
      <c r="K53" s="715" t="b">
        <f>IF(AND(K51=FALSE,K52=FALSE),FALSE,TRUE)</f>
        <v>1</v>
      </c>
      <c r="L53" s="31"/>
      <c r="M53" s="31"/>
      <c r="N53" s="31"/>
      <c r="O53" s="1351"/>
      <c r="P53" s="1352"/>
      <c r="Q53" s="714"/>
      <c r="R53" s="1365" t="b">
        <f>IF(AND(R51=FALSE,R52=FALSE),FALSE,TRUE)</f>
        <v>1</v>
      </c>
      <c r="S53" s="1352"/>
      <c r="T53" s="714"/>
      <c r="U53" s="1365" t="b">
        <f>IF(AND(U51=FALSE,U52=FALSE),FALSE,TRUE)</f>
        <v>0</v>
      </c>
      <c r="V53" s="807"/>
      <c r="W53" s="821"/>
      <c r="X53" s="822"/>
      <c r="Y53" s="821"/>
      <c r="Z53" s="822"/>
      <c r="AA53" s="821"/>
      <c r="AB53" s="822"/>
      <c r="AD53" s="10"/>
      <c r="AE53" s="10"/>
      <c r="AF53" s="10"/>
      <c r="AG53" s="1740">
        <f>IF($K53=TRUE,MAX(AG51:AG52),0)</f>
        <v>21</v>
      </c>
      <c r="AH53" s="1740">
        <f>IF($R53=TRUE,MAX(AH51:AH52),0)</f>
        <v>21</v>
      </c>
      <c r="AI53" s="1740">
        <f>IF($U53=TRUE,MAX(AI51:AI52),0)</f>
        <v>0</v>
      </c>
      <c r="AJ53" s="1739">
        <f>MAX(AJ51:AJ52)</f>
        <v>12</v>
      </c>
      <c r="AK53" s="1739">
        <f>MAX(AK51:AK52)</f>
        <v>30</v>
      </c>
      <c r="AL53" s="1739">
        <f>MAX(AL51:AL52)</f>
        <v>6</v>
      </c>
      <c r="AM53" s="1739">
        <f t="shared" ref="AM53:AO53" si="21">MAX(AM51:AM52)</f>
        <v>21</v>
      </c>
      <c r="AN53" s="1739">
        <f t="shared" si="21"/>
        <v>0</v>
      </c>
      <c r="AO53" s="1739">
        <f t="shared" si="21"/>
        <v>0</v>
      </c>
      <c r="AY53" s="734"/>
      <c r="AZ53" s="734"/>
      <c r="BA53" s="87"/>
      <c r="BB53" s="442"/>
      <c r="BC53" s="89"/>
      <c r="BD53" s="446"/>
      <c r="BE53" s="446"/>
      <c r="BF53" s="89"/>
      <c r="BG53" s="447"/>
      <c r="BH53" s="447"/>
      <c r="BI53" s="443"/>
    </row>
    <row r="54" spans="1:78" ht="19" x14ac:dyDescent="0.2">
      <c r="B54" s="1700"/>
      <c r="C54" s="38"/>
      <c r="D54" s="25"/>
      <c r="E54" s="78"/>
      <c r="F54" s="709"/>
      <c r="G54" s="708"/>
      <c r="H54" s="709">
        <f>F54*G54</f>
        <v>0</v>
      </c>
      <c r="I54" s="1374">
        <v>11</v>
      </c>
      <c r="J54" s="1375">
        <v>11</v>
      </c>
      <c r="K54" s="31" t="b">
        <f>IF(AND(F54&gt;=I54,F54&lt;=J54),TRUE,FALSE)</f>
        <v>0</v>
      </c>
      <c r="L54" s="31"/>
      <c r="M54" s="31"/>
      <c r="N54" s="31"/>
      <c r="O54" s="1351"/>
      <c r="P54" s="1374">
        <v>11</v>
      </c>
      <c r="Q54" s="1375">
        <v>11</v>
      </c>
      <c r="R54" s="1351" t="b">
        <f>IF(AND(F54&gt;=P54,F54&lt;=Q54),TRUE,FALSE)</f>
        <v>0</v>
      </c>
      <c r="S54" s="1374">
        <v>11</v>
      </c>
      <c r="T54" s="1375">
        <v>11</v>
      </c>
      <c r="U54" s="1351" t="b">
        <f>IF(AND(F54&gt;=S54,F54&lt;=T54),TRUE,FALSE)</f>
        <v>0</v>
      </c>
      <c r="V54" s="807"/>
      <c r="W54" s="821"/>
      <c r="X54" s="822"/>
      <c r="Y54" s="821"/>
      <c r="Z54" s="822"/>
      <c r="AA54" s="821"/>
      <c r="AB54" s="822"/>
      <c r="AD54" s="10"/>
      <c r="AE54" s="10"/>
      <c r="AF54" s="10"/>
      <c r="AG54" s="832">
        <f>IF(K54=TRUE,H54,0)</f>
        <v>0</v>
      </c>
      <c r="AH54" s="832">
        <f>IF(R54=TRUE,H54,0)</f>
        <v>0</v>
      </c>
      <c r="AI54" s="832">
        <f>IF(U54=TRUE,H54,0)</f>
        <v>0</v>
      </c>
      <c r="AJ54" s="1490">
        <f t="shared" ref="AJ54:AJ55" si="22">IF(OR(I54=11,A54="F"),0,G54*I54)</f>
        <v>0</v>
      </c>
      <c r="AK54" s="1490">
        <f t="shared" ref="AK54:AK55" si="23">IF(OR(J54=11,A54="F"),0,G54*J54)</f>
        <v>0</v>
      </c>
      <c r="AL54" s="1490">
        <f t="shared" ref="AL54:AL55" si="24">IF(OR(P54=11,A54="F"),0,G54*P54)</f>
        <v>0</v>
      </c>
      <c r="AM54" s="1490">
        <f t="shared" ref="AM54:AM55" si="25">IF(OR(Q54=11,A54="F"),0,G54*Q54)</f>
        <v>0</v>
      </c>
      <c r="AN54" s="1490">
        <f t="shared" ref="AN54:AN55" si="26">IF(OR(S54=11,A54="F"),0,S54*G54)</f>
        <v>0</v>
      </c>
      <c r="AO54" s="1490">
        <f t="shared" ref="AO54:AO55" si="27">IF(OR(T54=11,A54="F"),0,T54*G54)</f>
        <v>0</v>
      </c>
      <c r="AY54" s="734"/>
      <c r="AZ54" s="734"/>
      <c r="BA54" s="87"/>
      <c r="BB54" s="442"/>
      <c r="BC54" s="89"/>
      <c r="BD54" s="446"/>
      <c r="BE54" s="446"/>
      <c r="BF54" s="89"/>
      <c r="BG54" s="447"/>
      <c r="BH54" s="447"/>
      <c r="BI54" s="443"/>
    </row>
    <row r="55" spans="1:78" ht="19" x14ac:dyDescent="0.2">
      <c r="B55" s="1700"/>
      <c r="C55" s="38"/>
      <c r="D55" s="25"/>
      <c r="E55" s="48"/>
      <c r="F55" s="27"/>
      <c r="G55" s="27"/>
      <c r="H55" s="27">
        <f>F55*G55</f>
        <v>0</v>
      </c>
      <c r="I55" s="1374">
        <v>11</v>
      </c>
      <c r="J55" s="1375">
        <v>11</v>
      </c>
      <c r="K55" s="31" t="b">
        <f>IF(AND(F55&gt;=I55,F55&lt;=J55),TRUE,FALSE)</f>
        <v>0</v>
      </c>
      <c r="L55" s="31"/>
      <c r="M55" s="31"/>
      <c r="N55" s="31"/>
      <c r="O55" s="1351"/>
      <c r="P55" s="1374">
        <v>11</v>
      </c>
      <c r="Q55" s="1375">
        <v>11</v>
      </c>
      <c r="R55" s="1351" t="b">
        <f>IF(AND(F55&gt;=P55,F55&lt;=Q55),TRUE,FALSE)</f>
        <v>0</v>
      </c>
      <c r="S55" s="1374">
        <v>11</v>
      </c>
      <c r="T55" s="1375">
        <v>11</v>
      </c>
      <c r="U55" s="1351" t="b">
        <f>IF(AND(F55&gt;=S55,F55&lt;=T55),TRUE,FALSE)</f>
        <v>0</v>
      </c>
      <c r="V55" s="807"/>
      <c r="W55" s="821"/>
      <c r="X55" s="822"/>
      <c r="Y55" s="821"/>
      <c r="Z55" s="822"/>
      <c r="AA55" s="821"/>
      <c r="AB55" s="822"/>
      <c r="AD55" s="10"/>
      <c r="AE55" s="10"/>
      <c r="AF55" s="10"/>
      <c r="AG55" s="832">
        <f>IF(K55=TRUE,H55,0)</f>
        <v>0</v>
      </c>
      <c r="AH55" s="832">
        <f>IF(R55=TRUE,H55,0)</f>
        <v>0</v>
      </c>
      <c r="AI55" s="832">
        <f>IF(U55=TRUE,H55,0)</f>
        <v>0</v>
      </c>
      <c r="AJ55" s="1490">
        <f t="shared" si="22"/>
        <v>0</v>
      </c>
      <c r="AK55" s="1490">
        <f t="shared" si="23"/>
        <v>0</v>
      </c>
      <c r="AL55" s="1490">
        <f t="shared" si="24"/>
        <v>0</v>
      </c>
      <c r="AM55" s="1490">
        <f t="shared" si="25"/>
        <v>0</v>
      </c>
      <c r="AN55" s="1490">
        <f t="shared" si="26"/>
        <v>0</v>
      </c>
      <c r="AO55" s="1490">
        <f t="shared" si="27"/>
        <v>0</v>
      </c>
      <c r="AY55" s="734"/>
      <c r="AZ55" s="734"/>
      <c r="BA55" s="87"/>
      <c r="BB55" s="442"/>
      <c r="BC55" s="89"/>
      <c r="BD55" s="446"/>
      <c r="BE55" s="446"/>
      <c r="BF55" s="89"/>
      <c r="BG55" s="447"/>
      <c r="BH55" s="447"/>
      <c r="BI55" s="443"/>
    </row>
    <row r="56" spans="1:78" ht="20" thickBot="1" x14ac:dyDescent="0.25">
      <c r="B56" s="1700"/>
      <c r="C56" s="716" t="s">
        <v>610</v>
      </c>
      <c r="D56" s="717">
        <f>_xlfn.XLOOKUP(H56,H54:H55,D54:D55)</f>
        <v>0</v>
      </c>
      <c r="E56" s="718">
        <f>_xlfn.XLOOKUP(H56,H54:H55,E54:E55)</f>
        <v>0</v>
      </c>
      <c r="F56" s="719"/>
      <c r="G56" s="719"/>
      <c r="H56" s="713">
        <f>IF(AND(K54=TRUE,K55=FALSE),H54,IF(AND(K54=FALSE,K55=TRUE),H55,MAX(H54,H55)))</f>
        <v>0</v>
      </c>
      <c r="I56" s="1353"/>
      <c r="J56" s="720"/>
      <c r="K56" s="721" t="b">
        <f>IF(AND(K54=FALSE,K55=FALSE),FALSE,TRUE)</f>
        <v>0</v>
      </c>
      <c r="L56" s="31"/>
      <c r="M56" s="31"/>
      <c r="N56" s="31"/>
      <c r="O56" s="1351"/>
      <c r="P56" s="1353"/>
      <c r="Q56" s="720"/>
      <c r="R56" s="1366" t="b">
        <f>IF(AND(R54=FALSE,R55=FALSE),FALSE,TRUE)</f>
        <v>0</v>
      </c>
      <c r="S56" s="1353"/>
      <c r="T56" s="720"/>
      <c r="U56" s="1366" t="b">
        <f>IF(AND(U54=FALSE,U55=FALSE),FALSE,TRUE)</f>
        <v>0</v>
      </c>
      <c r="V56" s="807"/>
      <c r="W56" s="821"/>
      <c r="X56" s="822"/>
      <c r="Y56" s="821"/>
      <c r="Z56" s="822"/>
      <c r="AA56" s="821"/>
      <c r="AB56" s="822"/>
      <c r="AD56" s="10"/>
      <c r="AE56" s="10"/>
      <c r="AF56" s="10"/>
      <c r="AG56" s="1740">
        <f>IF($K56=TRUE,MAX(AG54:AG55),0)</f>
        <v>0</v>
      </c>
      <c r="AH56" s="1740">
        <f>IF($R56=TRUE,MAX(AH54:AH55),0)</f>
        <v>0</v>
      </c>
      <c r="AI56" s="1740">
        <f>IF($U56=TRUE,MAX(AI54:AI55),0)</f>
        <v>0</v>
      </c>
      <c r="AJ56" s="1739">
        <f>MAX(AJ54:AJ55)</f>
        <v>0</v>
      </c>
      <c r="AK56" s="1739">
        <f t="shared" ref="AK56" si="28">MAX(AK54:AK55)</f>
        <v>0</v>
      </c>
      <c r="AL56" s="1739">
        <f t="shared" ref="AL56" si="29">MAX(AL54:AL55)</f>
        <v>0</v>
      </c>
      <c r="AM56" s="1739">
        <f t="shared" ref="AM56" si="30">MAX(AM54:AM55)</f>
        <v>0</v>
      </c>
      <c r="AN56" s="1739">
        <f t="shared" ref="AN56" si="31">MAX(AN54:AN55)</f>
        <v>0</v>
      </c>
      <c r="AO56" s="1739">
        <f t="shared" ref="AO56" si="32">MAX(AO54:AO55)</f>
        <v>0</v>
      </c>
      <c r="AV56" s="7"/>
      <c r="AX56" s="7"/>
      <c r="AY56" s="734"/>
      <c r="AZ56" s="734"/>
      <c r="BA56" s="87"/>
      <c r="BB56" s="442"/>
      <c r="BC56" s="89"/>
      <c r="BD56" s="446"/>
      <c r="BE56" s="446"/>
      <c r="BF56" s="89"/>
      <c r="BG56" s="447"/>
      <c r="BH56" s="447"/>
      <c r="BI56" s="443"/>
      <c r="BN56" s="25"/>
      <c r="BP56" s="7"/>
      <c r="BQ56" s="7"/>
      <c r="BR56" s="7"/>
      <c r="BS56" s="7"/>
      <c r="BT56" s="7"/>
      <c r="BU56" s="7"/>
      <c r="BV56" s="7"/>
      <c r="BW56" s="7"/>
      <c r="BX56" s="7"/>
      <c r="BY56" s="7"/>
      <c r="BZ56" s="7"/>
    </row>
    <row r="57" spans="1:78" ht="35" thickBot="1" x14ac:dyDescent="0.25">
      <c r="B57" s="1700"/>
      <c r="C57" s="722" t="s">
        <v>616</v>
      </c>
      <c r="D57" s="723"/>
      <c r="E57" s="723" t="str">
        <f>IF(H57=H53,E53,E56)</f>
        <v>demande de garder des secrets | cacher des choses</v>
      </c>
      <c r="F57" s="724"/>
      <c r="G57" s="724"/>
      <c r="H57" s="724">
        <f>IF(AND($K53=TRUE,$K56=FALSE),H53,IF(AND($K53=FALSE,$K56=TRUE),H56,IF(AND($K53=TRUE,$K56=TRUE),H53+H56,MAX(H53,H56))))</f>
        <v>21</v>
      </c>
      <c r="I57" s="1354"/>
      <c r="J57" s="725"/>
      <c r="K57" s="726" t="b">
        <f>IF(AND(K53=FALSE,K56=FALSE),FALSE,TRUE)</f>
        <v>1</v>
      </c>
      <c r="L57" s="1338"/>
      <c r="M57" s="1338"/>
      <c r="N57" s="1338"/>
      <c r="O57" s="1355"/>
      <c r="P57" s="1354"/>
      <c r="Q57" s="725"/>
      <c r="R57" s="726" t="b">
        <f>IF(AND(R53=FALSE,R56=FALSE),FALSE,TRUE)</f>
        <v>1</v>
      </c>
      <c r="S57" s="1354"/>
      <c r="T57" s="725"/>
      <c r="U57" s="726" t="b">
        <f>IF(AND(U53=FALSE,U56=FALSE),FALSE,TRUE)</f>
        <v>0</v>
      </c>
      <c r="V57" s="807"/>
      <c r="W57" s="821" t="str">
        <f>IF(K57=TRUE,"V","F")</f>
        <v>V</v>
      </c>
      <c r="X57" s="822"/>
      <c r="Y57" s="821" t="str">
        <f>IF(R57=TRUE,"V","F")</f>
        <v>V</v>
      </c>
      <c r="Z57" s="822"/>
      <c r="AA57" s="821" t="str">
        <f>IF(U57=TRUE,"V","F")</f>
        <v>F</v>
      </c>
      <c r="AB57" s="822"/>
      <c r="AC57" t="str">
        <f>IF(OR(W57="V",Y57="V"),IF(H56&gt;H53,"Le NC contribue plus que le coparent","Le coparent joue un plus grand rôle que le NC"),"pas de contexte significatif de la part du coparent et NC")</f>
        <v>Le coparent joue un plus grand rôle que le NC</v>
      </c>
      <c r="AD57" s="10"/>
      <c r="AE57" s="10"/>
      <c r="AF57" s="10"/>
      <c r="AG57" s="591">
        <f>IF(AND($K53=TRUE,$K56=FALSE),AG53,IF(AND($K53=FALSE,$K56=TRUE),AG56,IF(AND($K53=TRUE,$K56=TRUE),AG53+AG56,0)))</f>
        <v>21</v>
      </c>
      <c r="AH57" s="591">
        <f>IF(AND($R53=TRUE,$R56=FALSE),AH53,IF(AND($R53=FALSE,$R56=TRUE),AH56,IF(AND($R53=TRUE,$R56=TRUE),AH53+AH56,0)))</f>
        <v>21</v>
      </c>
      <c r="AI57" s="591">
        <f>IF(AND($U53=TRUE,$U56=FALSE),AI53,IF(AND($U53=FALSE,$U56=TRUE),AI56,IF(AND($U53=TRUE,$U56=TRUE),AI53+AI56,0)))</f>
        <v>0</v>
      </c>
      <c r="AJ57" s="591">
        <f>IF(AND($K53=TRUE,$K56=FALSE),AJ53,IF(AND($K53=FALSE,$K56=TRUE),AJ56,IF(AND($K53=TRUE,$K56=TRUE),AJ53+AJ56,MAX(AJ53,AJ56))))</f>
        <v>12</v>
      </c>
      <c r="AK57" s="591">
        <f>IF(AND($K53=TRUE,$K56=FALSE),AK53,IF(AND($K53=FALSE,$K56=TRUE),AK56,IF(AND($K53=TRUE,$K56=TRUE),AK53+AK56,MAX(AK53,AK56))))</f>
        <v>30</v>
      </c>
      <c r="AL57" s="591">
        <f t="shared" ref="AL57:AM57" si="33">IF(AND($R53=TRUE,$R56=FALSE),AL53,IF(AND($R53=FALSE,$R56=TRUE),AL56,IF(AND($R53=TRUE,$R56=TRUE),AL53+AL56,MAX(AL53,AL56))))</f>
        <v>6</v>
      </c>
      <c r="AM57" s="591">
        <f t="shared" si="33"/>
        <v>21</v>
      </c>
      <c r="AN57" s="591">
        <f t="shared" ref="AN57:AO57" si="34">IF(AND($U53=TRUE,$U56=FALSE),AN53,IF(AND($U53=FALSE,$U56=TRUE),AN56,IF(AND($U53=TRUE,$U56=TRUE),AN53+AN56,MAX(AN53,AN56))))</f>
        <v>0</v>
      </c>
      <c r="AO57" s="591">
        <f t="shared" si="34"/>
        <v>0</v>
      </c>
      <c r="AV57" s="7"/>
      <c r="AX57" s="7"/>
      <c r="AY57" s="734"/>
      <c r="AZ57" s="734"/>
      <c r="BA57" s="87"/>
      <c r="BB57" s="442"/>
      <c r="BC57" s="89"/>
      <c r="BD57" s="446"/>
      <c r="BE57" s="446"/>
      <c r="BF57" s="89"/>
      <c r="BG57" s="447"/>
      <c r="BH57" s="447"/>
      <c r="BI57" s="443"/>
      <c r="BN57" s="25"/>
      <c r="BP57" s="7"/>
      <c r="BQ57" s="7"/>
      <c r="BR57" s="7"/>
      <c r="BS57" s="7"/>
      <c r="BT57" s="7"/>
      <c r="BU57" s="7"/>
      <c r="BV57" s="7"/>
      <c r="BW57" s="7"/>
      <c r="BX57" s="7"/>
      <c r="BY57" s="7"/>
      <c r="BZ57" s="7"/>
    </row>
    <row r="58" spans="1:78" ht="34" x14ac:dyDescent="0.2">
      <c r="A58" t="str">
        <f>IF(Test_Bible!B267="","F","O")</f>
        <v>O</v>
      </c>
      <c r="B58" s="1700" t="str">
        <f>'Cpts AR +indép + Sommaire'!S8</f>
        <v>A:Alliance</v>
      </c>
      <c r="C58" s="287" t="str">
        <f>'Cpts AR +indép + Sommaire'!O8</f>
        <v>E03</v>
      </c>
      <c r="D58" s="25" t="str">
        <f>'Cpts AR +indép + Sommaire'!P8</f>
        <v>Votre enfant garde des secrets et vous cache de l'information concernant sa relation avec l'autre parent.</v>
      </c>
      <c r="E58" s="48" t="s">
        <v>366</v>
      </c>
      <c r="F58" s="709">
        <f>'Cpts AR +indép + Sommaire'!Q8</f>
        <v>2</v>
      </c>
      <c r="G58" s="709">
        <f>'Cpts AR +indép + Sommaire'!R8</f>
        <v>1</v>
      </c>
      <c r="H58" s="709">
        <f>F58*G58</f>
        <v>2</v>
      </c>
      <c r="I58" s="1350">
        <v>4</v>
      </c>
      <c r="J58" s="1343">
        <v>10</v>
      </c>
      <c r="K58" s="31" t="b">
        <f>IF(AND(F58&gt;=I58,F58&lt;=J58),TRUE,FALSE)</f>
        <v>0</v>
      </c>
      <c r="L58" s="31"/>
      <c r="M58" s="31"/>
      <c r="N58" s="31"/>
      <c r="O58" s="1351"/>
      <c r="P58" s="1350">
        <v>2</v>
      </c>
      <c r="Q58" s="1343">
        <v>7</v>
      </c>
      <c r="R58" s="1351" t="b">
        <f>IF(AND(F58&gt;=P58,F58&lt;=Q58),TRUE,FALSE)</f>
        <v>1</v>
      </c>
      <c r="S58" s="1350"/>
      <c r="T58" s="1343"/>
      <c r="U58" s="1351"/>
      <c r="V58" s="1327"/>
      <c r="W58" s="821" t="s">
        <v>753</v>
      </c>
      <c r="X58" s="822"/>
      <c r="Y58" s="821"/>
      <c r="Z58" s="822"/>
      <c r="AA58" s="821"/>
      <c r="AB58" s="822"/>
      <c r="AD58" s="10"/>
      <c r="AE58" s="10"/>
      <c r="AF58" s="10"/>
      <c r="AG58" s="832">
        <f>IF($K58=TRUE,H58,0)</f>
        <v>0</v>
      </c>
      <c r="AH58" s="832">
        <f>IF($R58=TRUE,H58,0)</f>
        <v>2</v>
      </c>
      <c r="AI58" s="832"/>
      <c r="AJ58" s="1490">
        <f>IF(OR(I58=11,A58="F"),0,G58*I58)</f>
        <v>4</v>
      </c>
      <c r="AK58" s="1490">
        <f t="shared" ref="AK58:AK59" si="35">IF(OR(J58=11,A58="F"),0,G58*J58)</f>
        <v>10</v>
      </c>
      <c r="AL58" s="1490">
        <f t="shared" ref="AL58:AL59" si="36">IF(OR(P58=11,A58="F"),0,G58*P58)</f>
        <v>2</v>
      </c>
      <c r="AM58" s="1490">
        <f t="shared" ref="AM58:AM59" si="37">IF(OR(Q58=11,A58="F"),0,G58*Q58)</f>
        <v>7</v>
      </c>
      <c r="AN58" s="1490">
        <f t="shared" ref="AN58:AN59" si="38">IF(OR(S58=11,A58="F"),0,S58*G58)</f>
        <v>0</v>
      </c>
      <c r="AO58" s="1490">
        <f t="shared" ref="AO58:AO59" si="39">IF(OR(T58=11,A58="F"),0,T58*G58)</f>
        <v>0</v>
      </c>
      <c r="AV58" s="7"/>
      <c r="AX58" s="7"/>
      <c r="AY58" s="734"/>
      <c r="AZ58" s="734"/>
      <c r="BA58" s="87"/>
      <c r="BB58" s="442"/>
      <c r="BC58" s="89"/>
      <c r="BD58" s="446"/>
      <c r="BE58" s="446"/>
      <c r="BF58" s="89"/>
      <c r="BG58" s="447"/>
      <c r="BH58" s="447"/>
      <c r="BI58" s="443"/>
      <c r="BN58" s="25"/>
      <c r="BP58" s="7"/>
      <c r="BQ58" s="7"/>
      <c r="BR58" s="7"/>
      <c r="BS58" s="7"/>
      <c r="BT58" s="7"/>
      <c r="BU58" s="7"/>
      <c r="BV58" s="7"/>
      <c r="BW58" s="7"/>
      <c r="BX58" s="7"/>
      <c r="BY58" s="7"/>
      <c r="BZ58" s="7"/>
    </row>
    <row r="59" spans="1:78" ht="35" thickBot="1" x14ac:dyDescent="0.25">
      <c r="A59" t="str">
        <f>IF(Test_Bible!B268="","F","O")</f>
        <v>F</v>
      </c>
      <c r="B59" s="1700" t="str">
        <f>'Cpts AR +indép + Sommaire'!S9</f>
        <v>A:Alliance</v>
      </c>
      <c r="C59" s="287" t="str">
        <f>'Cpts AR +indép + Sommaire'!O9</f>
        <v>E03a</v>
      </c>
      <c r="D59" s="698" t="str">
        <f>'Cpts AR +indép + Sommaire'!P9</f>
        <v>Votre enfant a reçu l’ordre de ne pas vous raconter ce qui se passe chez l’autre parent.</v>
      </c>
      <c r="E59" s="48" t="s">
        <v>367</v>
      </c>
      <c r="F59" s="709">
        <f>'Cpts AR +indép + Sommaire'!Q9</f>
        <v>0</v>
      </c>
      <c r="G59" s="709">
        <f>'Cpts AR +indép + Sommaire'!R9</f>
        <v>2</v>
      </c>
      <c r="H59" s="709">
        <f>F59*G59</f>
        <v>0</v>
      </c>
      <c r="I59" s="1350">
        <v>4</v>
      </c>
      <c r="J59" s="1343">
        <v>10</v>
      </c>
      <c r="K59" s="31" t="b">
        <f>IF(AND(F59&gt;=I59,F59&lt;=J59),TRUE,FALSE)</f>
        <v>0</v>
      </c>
      <c r="L59" s="31"/>
      <c r="M59" s="31"/>
      <c r="N59" s="31"/>
      <c r="O59" s="1351"/>
      <c r="P59" s="1350">
        <v>2</v>
      </c>
      <c r="Q59" s="1343">
        <v>7</v>
      </c>
      <c r="R59" s="1351" t="b">
        <f>IF(AND(F59&gt;=P59,F59&lt;=Q59),TRUE,FALSE)</f>
        <v>0</v>
      </c>
      <c r="S59" s="1374"/>
      <c r="T59" s="1375"/>
      <c r="U59" s="1351"/>
      <c r="V59" s="807"/>
      <c r="W59" s="821"/>
      <c r="X59" s="822"/>
      <c r="Y59" s="821"/>
      <c r="Z59" s="822"/>
      <c r="AA59" s="821"/>
      <c r="AB59" s="822"/>
      <c r="AD59" s="10"/>
      <c r="AE59" s="10"/>
      <c r="AF59" s="10"/>
      <c r="AG59" s="832">
        <f>IF($K59=TRUE,H59,0)</f>
        <v>0</v>
      </c>
      <c r="AH59" s="832">
        <f>IF($R59=TRUE,H59,0)</f>
        <v>0</v>
      </c>
      <c r="AI59" s="832"/>
      <c r="AJ59" s="1490">
        <f t="shared" ref="AJ59" si="40">IF(OR(I59=11,A59="F"),0,G59*I59)</f>
        <v>0</v>
      </c>
      <c r="AK59" s="1490">
        <f t="shared" si="35"/>
        <v>0</v>
      </c>
      <c r="AL59" s="1490">
        <f t="shared" si="36"/>
        <v>0</v>
      </c>
      <c r="AM59" s="1490">
        <f t="shared" si="37"/>
        <v>0</v>
      </c>
      <c r="AN59" s="1490">
        <f t="shared" si="38"/>
        <v>0</v>
      </c>
      <c r="AO59" s="1490">
        <f t="shared" si="39"/>
        <v>0</v>
      </c>
      <c r="AY59" s="734"/>
      <c r="AZ59" s="734"/>
      <c r="BA59" s="87"/>
      <c r="BB59" s="442"/>
      <c r="BC59" s="89"/>
      <c r="BD59" s="446"/>
      <c r="BE59" s="446"/>
      <c r="BF59" s="89"/>
      <c r="BG59" s="447"/>
      <c r="BH59" s="447"/>
      <c r="BI59" s="443"/>
    </row>
    <row r="60" spans="1:78" ht="35" thickBot="1" x14ac:dyDescent="0.25">
      <c r="B60" s="1700"/>
      <c r="C60" s="727" t="s">
        <v>611</v>
      </c>
      <c r="D60" s="728" t="str">
        <f>_xlfn.XLOOKUP(H60,H58:H59,D58:D59)</f>
        <v>Votre enfant garde des secrets et vous cache de l'information concernant sa relation avec l'autre parent.</v>
      </c>
      <c r="E60" s="728" t="str">
        <f>_xlfn.XLOOKUP(H60,H58:H59,E58:E59)</f>
        <v>garde des secrets et cache l'information</v>
      </c>
      <c r="F60" s="729"/>
      <c r="G60" s="729"/>
      <c r="H60" s="729">
        <f>IF(AND(K58=TRUE,K59=FALSE),H58,IF(AND(K58=FALSE,K59=TRUE),H59,MAX(H58,H59)))</f>
        <v>2</v>
      </c>
      <c r="I60" s="1356"/>
      <c r="J60" s="730"/>
      <c r="K60" s="731" t="b">
        <f>IF(AND(K58=FALSE,K59=FALSE),FALSE,TRUE)</f>
        <v>0</v>
      </c>
      <c r="L60" s="1339"/>
      <c r="M60" s="1339"/>
      <c r="N60" s="1339"/>
      <c r="O60" s="1357"/>
      <c r="P60" s="1356"/>
      <c r="Q60" s="730"/>
      <c r="R60" s="731" t="b">
        <f>IF(AND(R58=FALSE,R59=FALSE),FALSE,TRUE)</f>
        <v>1</v>
      </c>
      <c r="S60" s="1356"/>
      <c r="T60" s="730"/>
      <c r="U60" s="731"/>
      <c r="V60" s="807"/>
      <c r="W60" s="821" t="str">
        <f>IF(K60=TRUE,"V","F")</f>
        <v>F</v>
      </c>
      <c r="X60" s="822"/>
      <c r="Y60" s="821" t="str">
        <f>IF(R60=TRUE,"V","F")</f>
        <v>V</v>
      </c>
      <c r="Z60" s="822"/>
      <c r="AA60" s="821"/>
      <c r="AB60" s="822"/>
      <c r="AD60" s="10"/>
      <c r="AE60" s="10"/>
      <c r="AF60" s="10"/>
      <c r="AG60" s="1742">
        <f>IF(AND($K58=TRUE,$K59=FALSE),AG58,IF(AND($K58=FALSE,$K59=TRUE),AG59,IF(AND($K58=TRUE,$K59=TRUE),MAX(AG58,AG59),0)))</f>
        <v>0</v>
      </c>
      <c r="AH60" s="1742">
        <f>IF(AND($R58=TRUE,$R59=FALSE),AH58,IF(AND($R58=FALSE,$R59=TRUE),AH59,IF(AND($R58=TRUE,$R59=TRUE),MAX(AH58,AH59),0)))</f>
        <v>2</v>
      </c>
      <c r="AI60" s="1742"/>
      <c r="AJ60" s="1742">
        <f>IF(AND($K58=TRUE,$K59=FALSE),AJ58,IF(AND($K58=FALSE,$K59=TRUE),AJ59,IF(AND($K58=TRUE,$K59=TRUE),MAX(AJ58,AJ59),0)))</f>
        <v>0</v>
      </c>
      <c r="AK60" s="1742">
        <f>IF(AND($K58=TRUE,$K59=FALSE),AK58,IF(AND($K58=FALSE,$K59=TRUE),AK59,IF(AND($K58=TRUE,$K59=TRUE),MAX(AK58,AK59),0)))</f>
        <v>0</v>
      </c>
      <c r="AL60" s="1742">
        <f t="shared" ref="AL60:AM60" si="41">IF(AND($R58=TRUE,$R59=FALSE),AL58,IF(AND($R58=FALSE,$R59=TRUE),AL59,IF(AND($R58=TRUE,$R59=TRUE),MAX(AL58,AL59),0)))</f>
        <v>2</v>
      </c>
      <c r="AM60" s="1742">
        <f t="shared" si="41"/>
        <v>7</v>
      </c>
      <c r="AN60" s="1742"/>
      <c r="AO60" s="1742"/>
      <c r="AY60" s="734"/>
      <c r="AZ60" s="734"/>
      <c r="BA60" s="87"/>
      <c r="BB60" s="442"/>
      <c r="BC60" s="89"/>
      <c r="BD60" s="446"/>
      <c r="BE60" s="446"/>
      <c r="BF60" s="89"/>
      <c r="BG60" s="447"/>
      <c r="BH60" s="447"/>
      <c r="BI60" s="443"/>
    </row>
    <row r="61" spans="1:78" ht="68" x14ac:dyDescent="0.2">
      <c r="B61" s="1700"/>
      <c r="D61" s="386" t="s">
        <v>273</v>
      </c>
      <c r="E61" s="705"/>
      <c r="F61" s="439" t="s">
        <v>349</v>
      </c>
      <c r="G61" s="33"/>
      <c r="H61" s="33">
        <f>IF(AND(K57=TRUE,K60=FALSE),H57,IF(AND(K57=FALSE,K60=TRUE),H60,IF(AND(K57=TRUE,K60=TRUE),H57+H60,MAX(H57,H60))))</f>
        <v>21</v>
      </c>
      <c r="I61" s="1358"/>
      <c r="J61" s="440"/>
      <c r="K61" s="1341"/>
      <c r="L61" s="1342" t="str">
        <f>IF(AND(K60=TRUE,K57=TRUE),E60,"")</f>
        <v/>
      </c>
      <c r="M61" s="1342" t="str">
        <f>IF(AND(K57=TRUE,K60=FALSE),"Bien que le parent "&amp;E57&amp;" l'enfant ne semble pas s'ingérer","")</f>
        <v>Bien que le parent demande de garder des secrets | cacher des choses l'enfant ne semble pas s'ingérer</v>
      </c>
      <c r="N61" s="1342" t="str">
        <f>IF(AND(K57=FALSE,K60=TRUE),E60&amp;" sans signe de la participation du parent favorisé et|ou nouveau conjoint.e","")</f>
        <v/>
      </c>
      <c r="O61" s="1359" t="str">
        <f>IF(AND(K57=FALSE,K60=FALSE),"aucun comportement significatif de cette nature","")</f>
        <v/>
      </c>
      <c r="P61" s="1358"/>
      <c r="Q61" s="440"/>
      <c r="R61" s="1367"/>
      <c r="S61" s="1358"/>
      <c r="T61" s="440"/>
      <c r="U61" s="1367"/>
      <c r="V61" s="145"/>
      <c r="W61" s="823"/>
      <c r="X61" s="824">
        <f>IF(AND(W57="V",W60="V"),2,IF(OR(W57="V",W60="V"),1,0))</f>
        <v>1</v>
      </c>
      <c r="Y61" s="823"/>
      <c r="Z61" s="824">
        <f>IF(OR(Y57="V",Y60="V"),1,0)</f>
        <v>1</v>
      </c>
      <c r="AA61" s="823"/>
      <c r="AB61" s="824"/>
      <c r="AD61" s="10"/>
      <c r="AE61" s="10"/>
      <c r="AF61" s="10"/>
      <c r="AG61" s="1738">
        <f>IF(AND($W57="V",$W60="F"),AG57,IF(AND($W57="F",$W60="V"),AG60,IF(AND($W57="V",$W60="V"),AG57+AG60,0)))</f>
        <v>21</v>
      </c>
      <c r="AH61" s="1738">
        <f>IF(AND($Y57="V",$Y60="F"),AH57,IF(AND($Y57="F",$Y60="V"),AH60,IF(AND($Y57="V",$Y60="V"),AH57+AH60,0)))</f>
        <v>23</v>
      </c>
      <c r="AI61" s="1738"/>
      <c r="AJ61" s="1738">
        <f>IF(AND($W57="V",$W60="F"),AJ57,IF(AND($W57="F",$W60="V"),AJ60,IF(AND($W57="V",$W60="V"),AJ57+AJ60,0)))</f>
        <v>12</v>
      </c>
      <c r="AK61" s="1738">
        <f>IF(AND($W57="V",$W60="F"),AK57,IF(AND($W57="F",$W60="V"),AK60,IF(AND($W57="V",$W60="V"),AK57+AK60,0)))</f>
        <v>30</v>
      </c>
      <c r="AL61" s="1738">
        <f>IF(AND($Y57="V",$Y60="F"),AL57,IF(AND($Y57="F",$Y60="V"),AL60,IF(AND($Y57="V",$Y60="V"),AL57+AL60,0)))</f>
        <v>8</v>
      </c>
      <c r="AM61" s="1738">
        <f>IF(AND($Y57="V",$Y60="F"),AM57,IF(AND($Y57="F",$Y60="V"),AM60,IF(AND($Y57="V",$Y60="V"),AM57+AM60,0)))</f>
        <v>28</v>
      </c>
      <c r="AN61" s="1738"/>
      <c r="AO61" s="1738"/>
      <c r="AY61" s="734"/>
      <c r="AZ61" s="734"/>
      <c r="BA61" s="87"/>
      <c r="BB61" s="442"/>
      <c r="BC61" s="89"/>
      <c r="BD61" s="446"/>
      <c r="BE61" s="446"/>
      <c r="BF61" s="89"/>
      <c r="BG61" s="447"/>
      <c r="BH61" s="447"/>
      <c r="BI61" s="443"/>
    </row>
    <row r="62" spans="1:78" x14ac:dyDescent="0.3">
      <c r="C62" t="s">
        <v>238</v>
      </c>
      <c r="I62" s="122"/>
      <c r="L62" s="32"/>
      <c r="M62" s="32"/>
      <c r="N62" s="32"/>
      <c r="O62" s="1379"/>
      <c r="P62" s="122"/>
      <c r="R62" s="292"/>
      <c r="S62" s="122"/>
      <c r="U62" s="292"/>
      <c r="V62" s="32"/>
      <c r="W62" s="821"/>
      <c r="X62" s="822"/>
      <c r="Y62" s="821"/>
      <c r="Z62" s="822"/>
      <c r="AA62" s="821"/>
      <c r="AB62" s="822"/>
      <c r="AD62" s="10"/>
      <c r="AE62" s="10"/>
      <c r="AF62" s="10"/>
      <c r="AG62" s="832"/>
      <c r="AH62" s="832"/>
      <c r="AI62" s="832"/>
      <c r="AJ62" s="1490"/>
      <c r="AK62" s="1490"/>
      <c r="AL62" s="1490"/>
      <c r="AM62" s="1490"/>
      <c r="AN62" s="1490"/>
      <c r="AO62" s="1490"/>
      <c r="AY62" s="734"/>
      <c r="AZ62" s="734"/>
      <c r="BA62" s="87"/>
      <c r="BB62" s="442"/>
      <c r="BC62" s="89"/>
      <c r="BD62" s="446"/>
      <c r="BE62" s="446"/>
      <c r="BF62" s="89"/>
      <c r="BG62" s="447"/>
      <c r="BH62" s="447"/>
      <c r="BI62" s="443"/>
    </row>
    <row r="63" spans="1:78" x14ac:dyDescent="0.3">
      <c r="C63" s="825"/>
      <c r="D63" s="829"/>
      <c r="E63" s="826"/>
      <c r="F63" s="830"/>
      <c r="G63" s="830"/>
      <c r="H63" s="830">
        <f>F63*G63</f>
        <v>0</v>
      </c>
      <c r="I63" s="1374">
        <v>11</v>
      </c>
      <c r="J63" s="1375">
        <v>11</v>
      </c>
      <c r="K63" s="31" t="b">
        <f>IF(AND(F63&gt;=I63,F63&lt;=J63),TRUE,FALSE)</f>
        <v>0</v>
      </c>
      <c r="L63" s="26"/>
      <c r="M63" s="26"/>
      <c r="N63" s="26"/>
      <c r="O63" s="1360"/>
      <c r="P63" s="1374">
        <v>11</v>
      </c>
      <c r="Q63" s="1375">
        <v>11</v>
      </c>
      <c r="R63" s="1351" t="b">
        <f>IF(AND(F63&gt;=P63,F63&lt;=Q63),TRUE,FALSE)</f>
        <v>0</v>
      </c>
      <c r="S63" s="1374">
        <v>11</v>
      </c>
      <c r="T63" s="1375">
        <v>11</v>
      </c>
      <c r="U63" s="1351" t="b">
        <f>IF(AND(F63&gt;=S63,F63&lt;=T63),TRUE,FALSE)</f>
        <v>0</v>
      </c>
      <c r="V63" s="32"/>
      <c r="W63" s="821"/>
      <c r="X63" s="822"/>
      <c r="Y63" s="821"/>
      <c r="Z63" s="822"/>
      <c r="AA63" s="821"/>
      <c r="AB63" s="822"/>
      <c r="AD63" s="10"/>
      <c r="AE63" s="10"/>
      <c r="AF63" s="10"/>
      <c r="AG63" s="832">
        <f>IF($K63=TRUE,H63,0)</f>
        <v>0</v>
      </c>
      <c r="AH63" s="832">
        <f>IF($R63=TRUE,H63,0)</f>
        <v>0</v>
      </c>
      <c r="AI63" s="832">
        <f>IF($U63=TRUE,H63,0)</f>
        <v>0</v>
      </c>
      <c r="AJ63" s="1490">
        <f t="shared" ref="AJ63:AJ64" si="42">IF(OR(I63=11,A63="F"),0,G63*I63)</f>
        <v>0</v>
      </c>
      <c r="AK63" s="1490">
        <f t="shared" ref="AK63:AK64" si="43">IF(OR(J63=11,A63="F"),0,G63*J63)</f>
        <v>0</v>
      </c>
      <c r="AL63" s="1490">
        <f t="shared" ref="AL63:AL64" si="44">IF(OR(P63=11,A63="F"),0,G63*P63)</f>
        <v>0</v>
      </c>
      <c r="AM63" s="1490">
        <f t="shared" ref="AM63:AM64" si="45">IF(OR(Q63=11,A63="F"),0,G63*Q63)</f>
        <v>0</v>
      </c>
      <c r="AN63" s="1490">
        <f t="shared" ref="AN63:AN64" si="46">IF(OR(S63=11,A63="F"),0,S63*G63)</f>
        <v>0</v>
      </c>
      <c r="AO63" s="1490">
        <f t="shared" ref="AO63:AO64" si="47">IF(OR(T63=11,A63="F"),0,T63*G63)</f>
        <v>0</v>
      </c>
      <c r="AY63" s="734"/>
      <c r="AZ63" s="734"/>
      <c r="BA63" s="87"/>
      <c r="BB63" s="442"/>
      <c r="BC63" s="89"/>
      <c r="BD63" s="446"/>
      <c r="BE63" s="446"/>
      <c r="BF63" s="89"/>
      <c r="BG63" s="447"/>
      <c r="BH63" s="447"/>
      <c r="BI63" s="443"/>
    </row>
    <row r="64" spans="1:78" ht="27" thickBot="1" x14ac:dyDescent="0.35">
      <c r="C64" s="825"/>
      <c r="D64" s="829"/>
      <c r="E64" s="826"/>
      <c r="F64" s="830"/>
      <c r="G64" s="830"/>
      <c r="H64" s="830">
        <f>F64*G64</f>
        <v>0</v>
      </c>
      <c r="I64" s="1374">
        <v>11</v>
      </c>
      <c r="J64" s="1375">
        <v>11</v>
      </c>
      <c r="K64" s="31" t="b">
        <f>IF(AND(F64&gt;=I64,F64&lt;=J64),TRUE,FALSE)</f>
        <v>0</v>
      </c>
      <c r="L64" s="26"/>
      <c r="M64" s="26"/>
      <c r="N64" s="26"/>
      <c r="O64" s="1360"/>
      <c r="P64" s="1374">
        <v>11</v>
      </c>
      <c r="Q64" s="1375">
        <v>11</v>
      </c>
      <c r="R64" s="1351" t="b">
        <f>IF(AND(F64&gt;=P64,F64&lt;=Q64),TRUE,FALSE)</f>
        <v>0</v>
      </c>
      <c r="S64" s="1374">
        <v>11</v>
      </c>
      <c r="T64" s="1375">
        <v>11</v>
      </c>
      <c r="U64" s="1351" t="b">
        <f>IF(AND(F64&gt;=S64,F64&lt;=T64),TRUE,FALSE)</f>
        <v>0</v>
      </c>
      <c r="V64" s="32"/>
      <c r="W64" s="821"/>
      <c r="X64" s="822"/>
      <c r="Y64" s="821"/>
      <c r="Z64" s="822"/>
      <c r="AA64" s="821"/>
      <c r="AB64" s="822"/>
      <c r="AD64" s="10"/>
      <c r="AE64" s="10"/>
      <c r="AF64" s="10"/>
      <c r="AG64" s="832">
        <f>IF($K64=TRUE,H64,0)</f>
        <v>0</v>
      </c>
      <c r="AH64" s="832">
        <f>IF($R64=TRUE,H64,0)</f>
        <v>0</v>
      </c>
      <c r="AI64" s="832">
        <f>IF($U64=TRUE,H64,0)</f>
        <v>0</v>
      </c>
      <c r="AJ64" s="1490">
        <f t="shared" si="42"/>
        <v>0</v>
      </c>
      <c r="AK64" s="1490">
        <f t="shared" si="43"/>
        <v>0</v>
      </c>
      <c r="AL64" s="1490">
        <f t="shared" si="44"/>
        <v>0</v>
      </c>
      <c r="AM64" s="1490">
        <f t="shared" si="45"/>
        <v>0</v>
      </c>
      <c r="AN64" s="1490">
        <f t="shared" si="46"/>
        <v>0</v>
      </c>
      <c r="AO64" s="1490">
        <f t="shared" si="47"/>
        <v>0</v>
      </c>
      <c r="AY64" s="734"/>
      <c r="AZ64" s="734"/>
      <c r="BA64" s="87"/>
      <c r="BB64" s="442"/>
      <c r="BC64" s="89"/>
      <c r="BD64" s="446"/>
      <c r="BE64" s="446"/>
      <c r="BF64" s="89"/>
      <c r="BG64" s="447"/>
      <c r="BH64" s="447"/>
      <c r="BI64" s="443"/>
    </row>
    <row r="65" spans="1:78" ht="27" thickBot="1" x14ac:dyDescent="0.35">
      <c r="C65" s="1368"/>
      <c r="D65" s="1369"/>
      <c r="E65" s="1370"/>
      <c r="F65" s="439" t="s">
        <v>349</v>
      </c>
      <c r="G65" s="33"/>
      <c r="H65" s="33">
        <f>IF(AND(K63=TRUE,K64=FALSE),H63,IF(AND(K63=FALSE,K64=TRUE),H64,MAX(H63,H64)))</f>
        <v>0</v>
      </c>
      <c r="I65" s="1371"/>
      <c r="J65" s="1372"/>
      <c r="K65" s="1378" t="b">
        <f>IF(AND(K63=FALSE,K64=FALSE),FALSE,TRUE)</f>
        <v>0</v>
      </c>
      <c r="L65" s="1361"/>
      <c r="M65" s="1362"/>
      <c r="N65" s="1362"/>
      <c r="O65" s="1363"/>
      <c r="P65" s="1371"/>
      <c r="Q65" s="1372"/>
      <c r="R65" s="1378" t="b">
        <f>IF(AND(R63=FALSE,R64=FALSE),FALSE,TRUE)</f>
        <v>0</v>
      </c>
      <c r="S65" s="1383"/>
      <c r="T65" s="1384"/>
      <c r="U65" s="1385" t="b">
        <f>IF(AND(U63=FALSE,U64=FALSE),FALSE,TRUE)</f>
        <v>0</v>
      </c>
      <c r="W65" s="1315" t="str">
        <f>IF(K65=TRUE,"V","F")</f>
        <v>F</v>
      </c>
      <c r="X65" s="1316"/>
      <c r="Y65" s="1315" t="str">
        <f>IF(R65=TRUE,"V","F")</f>
        <v>F</v>
      </c>
      <c r="Z65" s="1316"/>
      <c r="AA65" s="1315" t="str">
        <f>IF(U65=TRUE,"V","F")</f>
        <v>F</v>
      </c>
      <c r="AB65" s="1316"/>
      <c r="AD65" s="10"/>
      <c r="AE65" s="10"/>
      <c r="AF65" s="10"/>
      <c r="AG65" s="1742">
        <f>IF(AND($K63=TRUE,$K64=FALSE),AG63,IF(AND($K63=FALSE,$K64=TRUE),AG64,MAX(AG63,AG64)))</f>
        <v>0</v>
      </c>
      <c r="AH65" s="1742">
        <f>IF(AND($R63=TRUE,$R64=FALSE),AH63,IF(AND($R63=FALSE,$R64=TRUE),AH64,MAX(AH63,AH64)))</f>
        <v>0</v>
      </c>
      <c r="AI65" s="1742">
        <f>IF(AND($U63=TRUE,$U64=FALSE),AI63,IF(AND($U63=FALSE,$U64=TRUE),AI64,MAX(AI63,AI64)))</f>
        <v>0</v>
      </c>
      <c r="AJ65" s="1742">
        <f>IF(AND($K63=TRUE,$K64=FALSE),AJ63,IF(AND($K63=FALSE,$K64=TRUE),AJ64,MAX(AJ63,AJ64)))</f>
        <v>0</v>
      </c>
      <c r="AK65" s="1742">
        <f>IF(AND($K63=TRUE,$K64=FALSE),AK63,IF(AND($K63=FALSE,$K64=TRUE),AK64,MAX(AK63,AK64)))</f>
        <v>0</v>
      </c>
      <c r="AL65" s="1742">
        <f>IF(AND($R63=TRUE,$R64=FALSE),AL63,IF(AND($R63=FALSE,$R64=TRUE),AL64,MAX(AL63,AL64)))</f>
        <v>0</v>
      </c>
      <c r="AM65" s="1742">
        <f>IF(AND($R63=TRUE,$R64=FALSE),AM63,IF(AND($R63=FALSE,$R64=TRUE),AM64,MAX(AM63,AM64)))</f>
        <v>0</v>
      </c>
      <c r="AN65" s="1742">
        <f>IF(AND($U63=TRUE,$U64=FALSE),AN63,IF(AND($U63=FALSE,$U64=TRUE),AN64,MAX(AN63,AN64)))</f>
        <v>0</v>
      </c>
      <c r="AO65" s="1742">
        <f>IF(AND($U63=TRUE,$U64=FALSE),AO63,IF(AND($U63=FALSE,$U64=TRUE),AO64,MAX(AO63,AO64)))</f>
        <v>0</v>
      </c>
      <c r="AY65" s="734"/>
      <c r="AZ65" s="734"/>
      <c r="BA65" s="87"/>
      <c r="BB65" s="442"/>
      <c r="BC65" s="89"/>
      <c r="BD65" s="446"/>
      <c r="BE65" s="446"/>
      <c r="BF65" s="89"/>
      <c r="BG65" s="447"/>
      <c r="BH65" s="447"/>
      <c r="BI65" s="443"/>
    </row>
    <row r="66" spans="1:78" x14ac:dyDescent="0.3">
      <c r="E66" s="732"/>
      <c r="F66" s="73"/>
      <c r="G66" s="73"/>
      <c r="H66" s="73"/>
      <c r="I66" s="73"/>
      <c r="J66" s="73"/>
      <c r="K66" s="73"/>
      <c r="L66" s="733"/>
      <c r="M66" s="733"/>
      <c r="N66" s="733"/>
      <c r="O66" s="73"/>
      <c r="P66" s="73"/>
      <c r="Q66" s="73"/>
      <c r="R66" s="73"/>
      <c r="S66" s="73"/>
      <c r="T66" s="73"/>
      <c r="U66" s="73"/>
      <c r="V66" s="73"/>
      <c r="W66" s="1376"/>
      <c r="X66" s="1377">
        <f>IF(AND(W65="V",W57="V"),X61-1,X61)</f>
        <v>1</v>
      </c>
      <c r="Y66" s="1376"/>
      <c r="Z66" s="1377">
        <f>IF(OR(Y57="V",Y60="V",Y65="V"),1,0)</f>
        <v>1</v>
      </c>
      <c r="AA66" s="1376"/>
      <c r="AB66" s="1377">
        <f>IF(AA57="V",1,IF(AA65="V",1,0))</f>
        <v>0</v>
      </c>
      <c r="AD66" s="10">
        <f>X66</f>
        <v>1</v>
      </c>
      <c r="AE66" s="10">
        <f>Z66</f>
        <v>1</v>
      </c>
      <c r="AF66" s="10">
        <f>AB66</f>
        <v>0</v>
      </c>
      <c r="AG66" s="1741">
        <f>IF($W65="F",AG61,AG61+AG65)</f>
        <v>21</v>
      </c>
      <c r="AH66" s="1741">
        <f>IF($Y65="F",AH61,AH61+AH65)</f>
        <v>23</v>
      </c>
      <c r="AI66" s="1741">
        <f>IF(AND($AA57="V",$AA65="F"),AI57,IF(AND($AA57="F",$AA65="V"),AI65,IF(AND($AA57="V",$AA65="V"),AI57+AI65,0)))</f>
        <v>0</v>
      </c>
      <c r="AJ66" s="1741">
        <f>IF($W65="F",AJ61,AJ61+AJ65)</f>
        <v>12</v>
      </c>
      <c r="AK66" s="1741">
        <f>IF($W65="F",AK61,AK61+AK65)</f>
        <v>30</v>
      </c>
      <c r="AL66" s="1741">
        <f t="shared" ref="AL66:AM66" si="48">IF($Y65="F",AL61,AL61+AL65)</f>
        <v>8</v>
      </c>
      <c r="AM66" s="1741">
        <f t="shared" si="48"/>
        <v>28</v>
      </c>
      <c r="AN66" s="1741">
        <f t="shared" ref="AN66:AO66" si="49">IF(AND($AA57="V",$AA65="F"),AN57,IF(AND($AA57="F",$AA65="V"),AN65,IF(AND($AA57="V",$AA65="V"),AN57+AN65,0)))</f>
        <v>0</v>
      </c>
      <c r="AO66" s="1741">
        <f t="shared" si="49"/>
        <v>0</v>
      </c>
      <c r="AY66" s="734"/>
      <c r="AZ66" s="734"/>
      <c r="BA66" s="87"/>
      <c r="BB66" s="442"/>
      <c r="BC66" s="89"/>
      <c r="BD66" s="446"/>
      <c r="BE66" s="446"/>
      <c r="BF66" s="89"/>
      <c r="BG66" s="447"/>
      <c r="BH66" s="447"/>
      <c r="BI66" s="443"/>
    </row>
    <row r="67" spans="1:78" ht="27" thickBot="1" x14ac:dyDescent="0.35">
      <c r="E67" s="732"/>
      <c r="F67" s="73"/>
      <c r="G67" s="73"/>
      <c r="H67" s="73"/>
      <c r="I67" s="73"/>
      <c r="J67" s="73"/>
      <c r="K67" s="73"/>
      <c r="L67" s="733"/>
      <c r="M67" s="733"/>
      <c r="N67" s="733"/>
      <c r="O67" s="73"/>
      <c r="P67" s="73"/>
      <c r="Q67" s="73"/>
      <c r="R67" s="73"/>
      <c r="S67" s="73"/>
      <c r="T67" s="73"/>
      <c r="U67" s="73"/>
      <c r="V67" s="73"/>
      <c r="W67" s="1387"/>
      <c r="X67" s="1388"/>
      <c r="Y67" s="1231"/>
      <c r="Z67" s="1231"/>
      <c r="AA67" s="1231"/>
      <c r="AB67" s="1231"/>
      <c r="AD67" s="10"/>
      <c r="AE67" s="10"/>
      <c r="AF67" s="10"/>
      <c r="AY67" s="734"/>
      <c r="AZ67" s="734"/>
      <c r="BA67" s="87"/>
      <c r="BB67" s="442"/>
      <c r="BC67" s="89"/>
      <c r="BD67" s="446"/>
      <c r="BE67" s="446"/>
      <c r="BF67" s="89"/>
      <c r="BG67" s="447"/>
      <c r="BH67" s="447"/>
      <c r="BI67" s="443"/>
    </row>
    <row r="68" spans="1:78" x14ac:dyDescent="0.3">
      <c r="E68" s="732"/>
      <c r="F68" s="73"/>
      <c r="G68" s="73"/>
      <c r="H68" s="73"/>
      <c r="I68" s="2609" t="s">
        <v>1090</v>
      </c>
      <c r="J68" s="2610"/>
      <c r="K68" s="2611"/>
      <c r="L68" s="2603"/>
      <c r="M68" s="2603"/>
      <c r="N68" s="2603"/>
      <c r="O68" s="1347"/>
      <c r="P68" s="2606" t="s">
        <v>1089</v>
      </c>
      <c r="Q68" s="2607"/>
      <c r="R68" s="2608"/>
      <c r="S68" s="1394" t="s">
        <v>1088</v>
      </c>
      <c r="T68" s="1346"/>
      <c r="U68" s="1347"/>
      <c r="V68" s="73"/>
      <c r="W68" s="1231"/>
      <c r="X68" s="1231"/>
      <c r="Y68" s="1231"/>
      <c r="Z68" s="1231"/>
      <c r="AA68" s="1231"/>
      <c r="AB68" s="1231"/>
      <c r="AD68" s="10"/>
      <c r="AE68" s="10"/>
      <c r="AF68" s="10"/>
      <c r="AY68" s="734"/>
      <c r="AZ68" s="734"/>
      <c r="BA68" s="87"/>
      <c r="BB68" s="442"/>
      <c r="BC68" s="89"/>
      <c r="BD68" s="446"/>
      <c r="BE68" s="446"/>
      <c r="BF68" s="89"/>
      <c r="BG68" s="447"/>
      <c r="BH68" s="447"/>
      <c r="BI68" s="443"/>
    </row>
    <row r="69" spans="1:78" x14ac:dyDescent="0.3">
      <c r="B69" s="1699">
        <v>2</v>
      </c>
      <c r="D69" s="441" t="str">
        <f>'Cpts AR +indép + Sommaire'!B11</f>
        <v>Abandon de la famille</v>
      </c>
      <c r="E69" s="84"/>
      <c r="F69" s="50"/>
      <c r="G69" s="18"/>
      <c r="H69" s="18"/>
      <c r="I69" s="2595" t="s">
        <v>604</v>
      </c>
      <c r="J69" s="2596"/>
      <c r="K69" s="2596"/>
      <c r="L69" s="2597" t="s">
        <v>1086</v>
      </c>
      <c r="M69" s="2597"/>
      <c r="N69" s="2597"/>
      <c r="O69" s="2598"/>
      <c r="P69" s="2599" t="s">
        <v>603</v>
      </c>
      <c r="Q69" s="2600"/>
      <c r="R69" s="2601"/>
      <c r="S69" s="2590" t="s">
        <v>605</v>
      </c>
      <c r="T69" s="2591"/>
      <c r="U69" s="2592"/>
      <c r="V69" s="15"/>
      <c r="W69" s="817"/>
      <c r="X69" s="817"/>
      <c r="Y69" s="817"/>
      <c r="Z69" s="817"/>
      <c r="AA69" s="817"/>
      <c r="AB69" s="818"/>
      <c r="AD69" s="10"/>
      <c r="AE69" s="10"/>
      <c r="AF69" s="10"/>
      <c r="AG69" s="1386" t="s">
        <v>604</v>
      </c>
      <c r="AH69" s="1386" t="s">
        <v>603</v>
      </c>
      <c r="AI69" s="1386" t="s">
        <v>605</v>
      </c>
      <c r="AJ69" s="2589" t="s">
        <v>604</v>
      </c>
      <c r="AK69" s="2589"/>
      <c r="AL69" s="2589" t="s">
        <v>603</v>
      </c>
      <c r="AM69" s="2589"/>
      <c r="AN69" s="2589" t="s">
        <v>605</v>
      </c>
      <c r="AO69" s="2589"/>
      <c r="AY69" s="734"/>
      <c r="AZ69" s="734"/>
      <c r="BA69" s="87"/>
      <c r="BB69" s="442"/>
      <c r="BC69" s="89"/>
      <c r="BD69" s="446"/>
      <c r="BE69" s="446"/>
      <c r="BF69" s="89"/>
      <c r="BG69" s="447"/>
      <c r="BH69" s="447"/>
      <c r="BI69" s="443"/>
    </row>
    <row r="70" spans="1:78" ht="34" x14ac:dyDescent="0.2">
      <c r="B70" s="1700"/>
      <c r="D70" s="79" t="s">
        <v>779</v>
      </c>
      <c r="E70" s="835" t="s">
        <v>778</v>
      </c>
      <c r="F70" s="26" t="s">
        <v>226</v>
      </c>
      <c r="G70" s="26" t="s">
        <v>22</v>
      </c>
      <c r="H70" s="26" t="s">
        <v>612</v>
      </c>
      <c r="I70" s="1348" t="s">
        <v>269</v>
      </c>
      <c r="J70" s="29" t="s">
        <v>270</v>
      </c>
      <c r="K70" s="29" t="s">
        <v>271</v>
      </c>
      <c r="L70" s="29" t="s">
        <v>363</v>
      </c>
      <c r="M70" s="29" t="s">
        <v>339</v>
      </c>
      <c r="N70" s="29" t="s">
        <v>340</v>
      </c>
      <c r="O70" s="1349" t="s">
        <v>341</v>
      </c>
      <c r="P70" s="1348" t="s">
        <v>269</v>
      </c>
      <c r="Q70" s="29" t="s">
        <v>270</v>
      </c>
      <c r="R70" s="1349" t="s">
        <v>271</v>
      </c>
      <c r="S70" s="1348" t="s">
        <v>269</v>
      </c>
      <c r="T70" s="29" t="s">
        <v>270</v>
      </c>
      <c r="U70" s="1349" t="s">
        <v>271</v>
      </c>
      <c r="V70" s="736"/>
      <c r="W70" s="827" t="s">
        <v>604</v>
      </c>
      <c r="X70" s="828" t="s">
        <v>754</v>
      </c>
      <c r="Y70" s="827" t="s">
        <v>603</v>
      </c>
      <c r="Z70" s="828" t="s">
        <v>755</v>
      </c>
      <c r="AA70" s="827" t="s">
        <v>605</v>
      </c>
      <c r="AB70" s="828" t="s">
        <v>756</v>
      </c>
      <c r="AD70" s="10"/>
      <c r="AE70" s="10"/>
      <c r="AF70" s="10"/>
      <c r="AG70" s="10"/>
      <c r="AH70" s="10"/>
      <c r="AI70" s="10"/>
      <c r="AJ70" s="1490" t="s">
        <v>1058</v>
      </c>
      <c r="AK70" s="1490" t="s">
        <v>1059</v>
      </c>
      <c r="AL70" s="1490" t="s">
        <v>1058</v>
      </c>
      <c r="AM70" s="1490" t="s">
        <v>1059</v>
      </c>
      <c r="AN70" s="1490" t="s">
        <v>1058</v>
      </c>
      <c r="AO70" s="1490" t="s">
        <v>1059</v>
      </c>
      <c r="AY70" s="734"/>
      <c r="AZ70" s="734"/>
      <c r="BA70" s="87"/>
      <c r="BB70" s="442"/>
      <c r="BC70" s="89"/>
      <c r="BD70" s="446"/>
      <c r="BE70" s="446"/>
      <c r="BF70" s="89"/>
      <c r="BG70" s="447"/>
      <c r="BH70" s="447"/>
      <c r="BI70" s="443"/>
    </row>
    <row r="71" spans="1:78" ht="48" x14ac:dyDescent="0.2">
      <c r="A71" t="str">
        <f>IF(Test_Bible!B171="","F","O")</f>
        <v>O</v>
      </c>
      <c r="B71" s="1531" t="str">
        <f>'Cpts AR +indép + Sommaire'!G11</f>
        <v>Altération ou dévoiement de la réalité</v>
      </c>
      <c r="C71" s="379" t="str">
        <f>'Cpts AR +indép + Sommaire'!C11</f>
        <v>PFA04</v>
      </c>
      <c r="D71" s="25" t="str">
        <f>'Cpts AR +indép + Sommaire'!D11</f>
        <v>L’autre parent laisse entendre à votre enfant que vous avez abandonné la famille.</v>
      </c>
      <c r="E71" s="78" t="s">
        <v>619</v>
      </c>
      <c r="F71" s="709">
        <f>'Cpts AR +indép + Sommaire'!E11</f>
        <v>7</v>
      </c>
      <c r="G71" s="709">
        <f>'Cpts AR +indép + Sommaire'!F11</f>
        <v>1</v>
      </c>
      <c r="H71" s="709">
        <f>F71*G71</f>
        <v>7</v>
      </c>
      <c r="I71" s="1350">
        <v>4</v>
      </c>
      <c r="J71" s="1343">
        <v>10</v>
      </c>
      <c r="K71" s="31" t="b">
        <f>IF(AND(F71&gt;=I71,F71&lt;=J71),TRUE,FALSE)</f>
        <v>1</v>
      </c>
      <c r="L71" s="31"/>
      <c r="M71" s="31"/>
      <c r="N71" s="31"/>
      <c r="O71" s="1351"/>
      <c r="P71" s="1350">
        <v>2</v>
      </c>
      <c r="Q71" s="1343">
        <v>7</v>
      </c>
      <c r="R71" s="1351" t="b">
        <f>IF(AND(F71&gt;=P71,F71&lt;=Q71),TRUE,FALSE)</f>
        <v>1</v>
      </c>
      <c r="S71" s="1374">
        <v>11</v>
      </c>
      <c r="T71" s="1375">
        <v>11</v>
      </c>
      <c r="U71" s="1351" t="b">
        <f>IF(AND(F71&gt;=S71,F71&lt;=T71),TRUE,FALSE)</f>
        <v>0</v>
      </c>
      <c r="V71" s="1327"/>
      <c r="W71" s="819"/>
      <c r="X71" s="820"/>
      <c r="Y71" s="819"/>
      <c r="Z71" s="820"/>
      <c r="AA71" s="819"/>
      <c r="AB71" s="820"/>
      <c r="AD71" s="10"/>
      <c r="AE71" s="10"/>
      <c r="AF71" s="10"/>
      <c r="AG71" s="832">
        <f>IF($K71=TRUE,H71,0)</f>
        <v>7</v>
      </c>
      <c r="AH71" s="832">
        <f>IF($R71=TRUE,H71,0)</f>
        <v>7</v>
      </c>
      <c r="AI71" s="832">
        <f>IF($U71=TRUE,H71,0)</f>
        <v>0</v>
      </c>
      <c r="AJ71" s="1490">
        <f t="shared" ref="AJ71:AJ72" si="50">IF(OR(I71=11,A71="F"),0,G71*I71)</f>
        <v>4</v>
      </c>
      <c r="AK71" s="1490">
        <f t="shared" ref="AK71:AK72" si="51">IF(OR(J71=11,A71="F"),0,G71*J71)</f>
        <v>10</v>
      </c>
      <c r="AL71" s="1490">
        <f t="shared" ref="AL71:AL72" si="52">IF(OR(P71=11,A71="F"),0,G71*P71)</f>
        <v>2</v>
      </c>
      <c r="AM71" s="1490">
        <f t="shared" ref="AM71:AM72" si="53">IF(OR(Q71=11,A71="F"),0,G71*Q71)</f>
        <v>7</v>
      </c>
      <c r="AN71" s="1490">
        <f t="shared" ref="AN71:AN72" si="54">IF(OR(S71=11,A71="F"),0,S71*G71)</f>
        <v>0</v>
      </c>
      <c r="AO71" s="1490">
        <f t="shared" ref="AO71:AO72" si="55">IF(OR(T71=11,A71="F"),0,T71*G71)</f>
        <v>0</v>
      </c>
      <c r="AY71" s="734"/>
      <c r="AZ71" s="734"/>
      <c r="BA71" s="87"/>
      <c r="BB71" s="442"/>
      <c r="BC71" s="89"/>
      <c r="BD71" s="446"/>
      <c r="BE71" s="446"/>
      <c r="BF71" s="89"/>
      <c r="BG71" s="447"/>
      <c r="BH71" s="447"/>
      <c r="BI71" s="443"/>
    </row>
    <row r="72" spans="1:78" ht="48" x14ac:dyDescent="0.2">
      <c r="A72" t="str">
        <f>IF(Test_Bible!B172="","F","O")</f>
        <v>O</v>
      </c>
      <c r="B72" s="1531" t="str">
        <f>'Cpts AR +indép + Sommaire'!G12</f>
        <v>Altération ou dévoiement de la réalité</v>
      </c>
      <c r="C72" s="379" t="str">
        <f>'Cpts AR +indép + Sommaire'!C12</f>
        <v>PFA04a</v>
      </c>
      <c r="D72" s="698" t="str">
        <f>'Cpts AR +indép + Sommaire'!D12</f>
        <v>L’autre parent laisse entendre à votre enfant que vous ne l’aimez pas vraiment.</v>
      </c>
      <c r="E72" s="78" t="s">
        <v>274</v>
      </c>
      <c r="F72" s="709">
        <f>'Cpts AR +indép + Sommaire'!E12</f>
        <v>4</v>
      </c>
      <c r="G72" s="709">
        <f>'Cpts AR +indép + Sommaire'!F12</f>
        <v>2</v>
      </c>
      <c r="H72" s="709">
        <f>F72*G72</f>
        <v>8</v>
      </c>
      <c r="I72" s="1350">
        <v>4</v>
      </c>
      <c r="J72" s="1343">
        <v>10</v>
      </c>
      <c r="K72" s="31" t="b">
        <f>IF(AND(F72&gt;=I72,F72&lt;=J72),TRUE,FALSE)</f>
        <v>1</v>
      </c>
      <c r="L72" s="31"/>
      <c r="M72" s="31"/>
      <c r="N72" s="31"/>
      <c r="O72" s="1351"/>
      <c r="P72" s="1374">
        <v>11</v>
      </c>
      <c r="Q72" s="1375">
        <v>11</v>
      </c>
      <c r="R72" s="1351" t="b">
        <f>IF(AND(F72&gt;=P72,F72&lt;=Q72),TRUE,FALSE)</f>
        <v>0</v>
      </c>
      <c r="S72" s="1374">
        <v>11</v>
      </c>
      <c r="T72" s="1375">
        <v>11</v>
      </c>
      <c r="U72" s="1351" t="b">
        <f>IF(AND(F72&gt;=S72,F72&lt;=T72),TRUE,FALSE)</f>
        <v>0</v>
      </c>
      <c r="V72" s="807"/>
      <c r="W72" s="821"/>
      <c r="X72" s="822"/>
      <c r="Y72" s="821"/>
      <c r="Z72" s="822"/>
      <c r="AA72" s="821"/>
      <c r="AB72" s="822"/>
      <c r="AD72" s="10"/>
      <c r="AE72" s="10"/>
      <c r="AF72" s="10"/>
      <c r="AG72" s="832">
        <f>IF($K72=TRUE,H72,0)</f>
        <v>8</v>
      </c>
      <c r="AH72" s="832">
        <f>IF($R72=TRUE,H72,0)</f>
        <v>0</v>
      </c>
      <c r="AI72" s="832">
        <f>IF($U72=TRUE,H72,0)</f>
        <v>0</v>
      </c>
      <c r="AJ72" s="1490">
        <f t="shared" si="50"/>
        <v>8</v>
      </c>
      <c r="AK72" s="1490">
        <f t="shared" si="51"/>
        <v>20</v>
      </c>
      <c r="AL72" s="1490">
        <f t="shared" si="52"/>
        <v>0</v>
      </c>
      <c r="AM72" s="1490">
        <f t="shared" si="53"/>
        <v>0</v>
      </c>
      <c r="AN72" s="1490">
        <f t="shared" si="54"/>
        <v>0</v>
      </c>
      <c r="AO72" s="1490">
        <f t="shared" si="55"/>
        <v>0</v>
      </c>
      <c r="AY72" s="734"/>
      <c r="AZ72" s="734"/>
      <c r="BA72" s="87"/>
      <c r="BB72" s="442"/>
      <c r="BC72" s="89"/>
      <c r="BD72" s="446"/>
      <c r="BE72" s="446"/>
      <c r="BF72" s="89"/>
      <c r="BG72" s="447"/>
      <c r="BH72" s="447"/>
      <c r="BI72" s="443"/>
    </row>
    <row r="73" spans="1:78" ht="34" x14ac:dyDescent="0.2">
      <c r="B73" s="1531"/>
      <c r="C73" s="710" t="s">
        <v>609</v>
      </c>
      <c r="D73" s="711" t="str">
        <f>_xlfn.XLOOKUP(H73,H71:H72,D71:D72)</f>
        <v>L’autre parent laisse entendre à votre enfant que vous ne l’aimez pas vraiment.</v>
      </c>
      <c r="E73" s="712" t="str">
        <f>_xlfn.XLOOKUP(H73,H71:H72,E71:E72)</f>
        <v>laisse entendre que vous ne l'aimez pas</v>
      </c>
      <c r="F73" s="713"/>
      <c r="G73" s="713"/>
      <c r="H73" s="713">
        <f>IF(AND(K71=TRUE,K72=FALSE),H71,IF(AND(K71=FALSE,K72=TRUE),H72,MAX(H71,H72)))</f>
        <v>8</v>
      </c>
      <c r="I73" s="1352"/>
      <c r="J73" s="714"/>
      <c r="K73" s="715" t="b">
        <f>IF(AND(K71=FALSE,K72=FALSE),FALSE,TRUE)</f>
        <v>1</v>
      </c>
      <c r="L73" s="31"/>
      <c r="M73" s="31"/>
      <c r="N73" s="31"/>
      <c r="O73" s="1351"/>
      <c r="P73" s="1352"/>
      <c r="Q73" s="714"/>
      <c r="R73" s="1365" t="b">
        <f>IF(AND(R71=FALSE,R72=FALSE),FALSE,TRUE)</f>
        <v>1</v>
      </c>
      <c r="S73" s="1352"/>
      <c r="T73" s="714"/>
      <c r="U73" s="1365" t="b">
        <f>IF(AND(U71=FALSE,U72=FALSE),FALSE,TRUE)</f>
        <v>0</v>
      </c>
      <c r="V73" s="807"/>
      <c r="W73" s="821"/>
      <c r="X73" s="822"/>
      <c r="Y73" s="821"/>
      <c r="Z73" s="822"/>
      <c r="AA73" s="821"/>
      <c r="AB73" s="822"/>
      <c r="AD73" s="10"/>
      <c r="AE73" s="10"/>
      <c r="AF73" s="10"/>
      <c r="AG73" s="1740">
        <f>IF($K73=TRUE,MAX(AG71:AG72),0)</f>
        <v>8</v>
      </c>
      <c r="AH73" s="1740">
        <f>IF($R73=TRUE,MAX(AH71:AH72),0)</f>
        <v>7</v>
      </c>
      <c r="AI73" s="1740">
        <f>IF($U73=TRUE,MAX(AI71:AI72),0)</f>
        <v>0</v>
      </c>
      <c r="AJ73" s="1739">
        <f>MAX(AJ71:AJ72)</f>
        <v>8</v>
      </c>
      <c r="AK73" s="1739">
        <f t="shared" ref="AK73" si="56">MAX(AK71:AK72)</f>
        <v>20</v>
      </c>
      <c r="AL73" s="1739">
        <f t="shared" ref="AL73" si="57">MAX(AL71:AL72)</f>
        <v>2</v>
      </c>
      <c r="AM73" s="1739">
        <f t="shared" ref="AM73" si="58">MAX(AM71:AM72)</f>
        <v>7</v>
      </c>
      <c r="AN73" s="1739">
        <f t="shared" ref="AN73" si="59">MAX(AN71:AN72)</f>
        <v>0</v>
      </c>
      <c r="AO73" s="1739">
        <f t="shared" ref="AO73" si="60">MAX(AO71:AO72)</f>
        <v>0</v>
      </c>
      <c r="AY73" s="734"/>
      <c r="AZ73" s="734"/>
      <c r="BA73" s="87"/>
      <c r="BB73" s="442"/>
      <c r="BC73" s="89"/>
      <c r="BD73" s="446"/>
      <c r="BE73" s="446"/>
      <c r="BF73" s="89"/>
      <c r="BG73" s="447"/>
      <c r="BH73" s="447"/>
      <c r="BI73" s="443"/>
    </row>
    <row r="74" spans="1:78" ht="19" x14ac:dyDescent="0.2">
      <c r="B74" s="1700"/>
      <c r="C74" s="38"/>
      <c r="D74" s="25"/>
      <c r="E74" s="78"/>
      <c r="F74" s="709"/>
      <c r="G74" s="708"/>
      <c r="H74" s="709">
        <f>F74*G74</f>
        <v>0</v>
      </c>
      <c r="I74" s="1374">
        <v>11</v>
      </c>
      <c r="J74" s="1375">
        <v>11</v>
      </c>
      <c r="K74" s="31" t="b">
        <f>IF(AND(F74&gt;=I74,F74&lt;=J74),TRUE,FALSE)</f>
        <v>0</v>
      </c>
      <c r="L74" s="31"/>
      <c r="M74" s="31"/>
      <c r="N74" s="31"/>
      <c r="O74" s="1351"/>
      <c r="P74" s="1374">
        <v>11</v>
      </c>
      <c r="Q74" s="1375">
        <v>11</v>
      </c>
      <c r="R74" s="1351" t="b">
        <f>IF(AND(F74&gt;=P74,F74&lt;=Q74),TRUE,FALSE)</f>
        <v>0</v>
      </c>
      <c r="S74" s="1374">
        <v>11</v>
      </c>
      <c r="T74" s="1375">
        <v>11</v>
      </c>
      <c r="U74" s="1351" t="b">
        <f>IF(AND(F74&gt;=S74,F74&lt;=T74),TRUE,FALSE)</f>
        <v>0</v>
      </c>
      <c r="V74" s="807"/>
      <c r="W74" s="821"/>
      <c r="X74" s="822"/>
      <c r="Y74" s="821"/>
      <c r="Z74" s="822"/>
      <c r="AA74" s="821"/>
      <c r="AB74" s="822"/>
      <c r="AD74" s="10"/>
      <c r="AE74" s="10"/>
      <c r="AF74" s="10"/>
      <c r="AG74" s="832">
        <f>IF(K74=TRUE,H74,0)</f>
        <v>0</v>
      </c>
      <c r="AH74" s="832">
        <f>IF(R74=TRUE,H74,0)</f>
        <v>0</v>
      </c>
      <c r="AI74" s="832">
        <f>IF(U74=TRUE,H74,0)</f>
        <v>0</v>
      </c>
      <c r="AJ74" s="1490">
        <f t="shared" ref="AJ74:AJ75" si="61">IF(OR(I74=11,A74="F"),0,G74*I74)</f>
        <v>0</v>
      </c>
      <c r="AK74" s="1490">
        <f t="shared" ref="AK74:AK75" si="62">IF(OR(J74=11,A74="F"),0,G74*J74)</f>
        <v>0</v>
      </c>
      <c r="AL74" s="1490">
        <f t="shared" ref="AL74:AL75" si="63">IF(OR(P74=11,A74="F"),0,G74*P74)</f>
        <v>0</v>
      </c>
      <c r="AM74" s="1490">
        <f t="shared" ref="AM74:AM75" si="64">IF(OR(Q74=11,A74="F"),0,G74*Q74)</f>
        <v>0</v>
      </c>
      <c r="AN74" s="1490">
        <f t="shared" ref="AN74:AN75" si="65">IF(OR(S74=11,A74="F"),0,S74*G74)</f>
        <v>0</v>
      </c>
      <c r="AO74" s="1490">
        <f t="shared" ref="AO74:AO75" si="66">IF(OR(T74=11,A74="F"),0,T74*G74)</f>
        <v>0</v>
      </c>
      <c r="AY74" s="734"/>
      <c r="AZ74" s="734"/>
      <c r="BA74" s="87"/>
      <c r="BB74" s="442"/>
      <c r="BC74" s="89"/>
      <c r="BD74" s="446"/>
      <c r="BE74" s="446"/>
      <c r="BF74" s="89"/>
      <c r="BG74" s="447"/>
      <c r="BH74" s="447"/>
      <c r="BI74" s="443"/>
    </row>
    <row r="75" spans="1:78" ht="19" x14ac:dyDescent="0.2">
      <c r="B75" s="1700"/>
      <c r="C75" s="38"/>
      <c r="D75" s="25"/>
      <c r="E75" s="48"/>
      <c r="F75" s="27"/>
      <c r="G75" s="27"/>
      <c r="H75" s="27">
        <f>F75*G75</f>
        <v>0</v>
      </c>
      <c r="I75" s="1374">
        <v>11</v>
      </c>
      <c r="J75" s="1375">
        <v>11</v>
      </c>
      <c r="K75" s="31" t="b">
        <f>IF(AND(F75&gt;=I75,F75&lt;=J75),TRUE,FALSE)</f>
        <v>0</v>
      </c>
      <c r="L75" s="31"/>
      <c r="M75" s="31"/>
      <c r="N75" s="31"/>
      <c r="O75" s="1351"/>
      <c r="P75" s="1374">
        <v>11</v>
      </c>
      <c r="Q75" s="1375">
        <v>11</v>
      </c>
      <c r="R75" s="1351" t="b">
        <f>IF(AND(F75&gt;=P75,F75&lt;=Q75),TRUE,FALSE)</f>
        <v>0</v>
      </c>
      <c r="S75" s="1374">
        <v>11</v>
      </c>
      <c r="T75" s="1375">
        <v>11</v>
      </c>
      <c r="U75" s="1351" t="b">
        <f>IF(AND(F75&gt;=S75,F75&lt;=T75),TRUE,FALSE)</f>
        <v>0</v>
      </c>
      <c r="V75" s="807"/>
      <c r="W75" s="821"/>
      <c r="X75" s="822"/>
      <c r="Y75" s="821"/>
      <c r="Z75" s="822"/>
      <c r="AA75" s="821"/>
      <c r="AB75" s="822"/>
      <c r="AD75" s="10"/>
      <c r="AE75" s="10"/>
      <c r="AF75" s="10"/>
      <c r="AG75" s="832">
        <f>IF(K75=TRUE,H75,0)</f>
        <v>0</v>
      </c>
      <c r="AH75" s="832">
        <f>IF(R75=TRUE,H75,0)</f>
        <v>0</v>
      </c>
      <c r="AI75" s="832">
        <f>IF(U75=TRUE,H75,0)</f>
        <v>0</v>
      </c>
      <c r="AJ75" s="1490">
        <f t="shared" si="61"/>
        <v>0</v>
      </c>
      <c r="AK75" s="1490">
        <f t="shared" si="62"/>
        <v>0</v>
      </c>
      <c r="AL75" s="1490">
        <f t="shared" si="63"/>
        <v>0</v>
      </c>
      <c r="AM75" s="1490">
        <f t="shared" si="64"/>
        <v>0</v>
      </c>
      <c r="AN75" s="1490">
        <f t="shared" si="65"/>
        <v>0</v>
      </c>
      <c r="AO75" s="1490">
        <f t="shared" si="66"/>
        <v>0</v>
      </c>
      <c r="AV75" s="7"/>
      <c r="AX75" s="7"/>
      <c r="AY75" s="734"/>
      <c r="AZ75" s="734"/>
      <c r="BA75" s="87"/>
      <c r="BB75" s="442"/>
      <c r="BC75" s="89"/>
      <c r="BD75" s="446"/>
      <c r="BE75" s="446"/>
      <c r="BF75" s="89"/>
      <c r="BG75" s="447"/>
      <c r="BH75" s="447"/>
      <c r="BI75" s="443"/>
      <c r="BN75" s="25"/>
      <c r="BP75" s="7"/>
      <c r="BQ75" s="7"/>
      <c r="BR75" s="7"/>
      <c r="BS75" s="7"/>
      <c r="BT75" s="7"/>
      <c r="BU75" s="7"/>
      <c r="BV75" s="7"/>
      <c r="BW75" s="7"/>
      <c r="BX75" s="7"/>
      <c r="BY75" s="7"/>
      <c r="BZ75" s="7"/>
    </row>
    <row r="76" spans="1:78" ht="20" thickBot="1" x14ac:dyDescent="0.25">
      <c r="B76" s="1700"/>
      <c r="C76" s="716" t="s">
        <v>610</v>
      </c>
      <c r="D76" s="717">
        <f>_xlfn.XLOOKUP(H76,H74:H75,D74:D75)</f>
        <v>0</v>
      </c>
      <c r="E76" s="718">
        <f>_xlfn.XLOOKUP(H76,H74:H75,E74:E75)</f>
        <v>0</v>
      </c>
      <c r="F76" s="719"/>
      <c r="G76" s="719"/>
      <c r="H76" s="713">
        <f>IF(AND(K74=TRUE,K75=FALSE),H74,IF(AND(K74=FALSE,K75=TRUE),H75,MAX(H74,H75)))</f>
        <v>0</v>
      </c>
      <c r="I76" s="1353"/>
      <c r="J76" s="720"/>
      <c r="K76" s="721" t="b">
        <f>IF(AND(K74=FALSE,K75=FALSE),FALSE,TRUE)</f>
        <v>0</v>
      </c>
      <c r="L76" s="31"/>
      <c r="M76" s="31"/>
      <c r="N76" s="31"/>
      <c r="O76" s="1351"/>
      <c r="P76" s="1353"/>
      <c r="Q76" s="720"/>
      <c r="R76" s="1366" t="b">
        <f>IF(AND(R74=FALSE,R75=FALSE),FALSE,TRUE)</f>
        <v>0</v>
      </c>
      <c r="S76" s="1353"/>
      <c r="T76" s="720"/>
      <c r="U76" s="1366" t="b">
        <f>IF(AND(U74=FALSE,U75=FALSE),FALSE,TRUE)</f>
        <v>0</v>
      </c>
      <c r="V76" s="807"/>
      <c r="W76" s="821"/>
      <c r="X76" s="822"/>
      <c r="Y76" s="821"/>
      <c r="Z76" s="822"/>
      <c r="AA76" s="821"/>
      <c r="AB76" s="822"/>
      <c r="AD76" s="10"/>
      <c r="AE76" s="10"/>
      <c r="AF76" s="10"/>
      <c r="AG76" s="1740">
        <f>IF($K76=TRUE,MAX(AG74:AG75),0)</f>
        <v>0</v>
      </c>
      <c r="AH76" s="1740">
        <f>IF($R76=TRUE,MAX(AH74:AH75),0)</f>
        <v>0</v>
      </c>
      <c r="AI76" s="1740">
        <f>IF($U76=TRUE,MAX(AI74:AI75),0)</f>
        <v>0</v>
      </c>
      <c r="AJ76" s="1739">
        <f>MAX(AJ74:AJ75)</f>
        <v>0</v>
      </c>
      <c r="AK76" s="1739">
        <f t="shared" ref="AK76" si="67">MAX(AK74:AK75)</f>
        <v>0</v>
      </c>
      <c r="AL76" s="1739">
        <f t="shared" ref="AL76" si="68">MAX(AL74:AL75)</f>
        <v>0</v>
      </c>
      <c r="AM76" s="1739">
        <f t="shared" ref="AM76" si="69">MAX(AM74:AM75)</f>
        <v>0</v>
      </c>
      <c r="AN76" s="1739">
        <f t="shared" ref="AN76" si="70">MAX(AN74:AN75)</f>
        <v>0</v>
      </c>
      <c r="AO76" s="1739">
        <f t="shared" ref="AO76" si="71">MAX(AO74:AO75)</f>
        <v>0</v>
      </c>
      <c r="AV76" s="7"/>
      <c r="AX76" s="7"/>
      <c r="AY76" s="734"/>
      <c r="AZ76" s="734"/>
      <c r="BA76" s="87"/>
      <c r="BB76" s="442"/>
      <c r="BC76" s="89"/>
      <c r="BD76" s="446"/>
      <c r="BE76" s="446"/>
      <c r="BF76" s="89"/>
      <c r="BG76" s="447"/>
      <c r="BH76" s="447"/>
      <c r="BI76" s="443"/>
      <c r="BN76" s="25"/>
      <c r="BP76" s="7"/>
      <c r="BQ76" s="7"/>
      <c r="BR76" s="7"/>
      <c r="BS76" s="7"/>
      <c r="BT76" s="7"/>
      <c r="BU76" s="7"/>
      <c r="BV76" s="7"/>
      <c r="BW76" s="7"/>
      <c r="BX76" s="7"/>
      <c r="BY76" s="7"/>
      <c r="BZ76" s="7"/>
    </row>
    <row r="77" spans="1:78" ht="35" thickBot="1" x14ac:dyDescent="0.25">
      <c r="B77" s="1700"/>
      <c r="C77" s="722" t="s">
        <v>616</v>
      </c>
      <c r="D77" s="723"/>
      <c r="E77" s="723" t="str">
        <f>IF(H77=H73,E73,E76)</f>
        <v>laisse entendre que vous ne l'aimez pas</v>
      </c>
      <c r="F77" s="724"/>
      <c r="G77" s="724"/>
      <c r="H77" s="724">
        <f>IF(AND(K73=TRUE,K76=FALSE),H73,IF(AND(K73=FALSE,K76=TRUE),H76,IF(AND(K73=TRUE,K76=TRUE),H73+H76,MAX(H73,H76))))</f>
        <v>8</v>
      </c>
      <c r="I77" s="1354"/>
      <c r="J77" s="725"/>
      <c r="K77" s="726" t="b">
        <f>IF(AND(K73=FALSE,K76=FALSE),FALSE,TRUE)</f>
        <v>1</v>
      </c>
      <c r="L77" s="1338"/>
      <c r="M77" s="1338"/>
      <c r="N77" s="1338"/>
      <c r="O77" s="1355"/>
      <c r="P77" s="1354"/>
      <c r="Q77" s="725"/>
      <c r="R77" s="726" t="b">
        <f>IF(AND(R73=FALSE,R76=FALSE),FALSE,TRUE)</f>
        <v>1</v>
      </c>
      <c r="S77" s="1354"/>
      <c r="T77" s="725"/>
      <c r="U77" s="726" t="b">
        <f>IF(AND(U73=FALSE,U76=FALSE),FALSE,TRUE)</f>
        <v>0</v>
      </c>
      <c r="V77" s="807"/>
      <c r="W77" s="821" t="str">
        <f>IF(K77=TRUE,"V","F")</f>
        <v>V</v>
      </c>
      <c r="X77" s="822"/>
      <c r="Y77" s="821" t="str">
        <f>IF(R77=TRUE,"V","F")</f>
        <v>V</v>
      </c>
      <c r="Z77" s="822"/>
      <c r="AA77" s="821" t="str">
        <f>IF(U77=TRUE,"V","F")</f>
        <v>F</v>
      </c>
      <c r="AB77" s="822"/>
      <c r="AC77" t="str">
        <f>IF(OR(W77="V",Y77="V"),IF(H76&gt;H73,"Le NC contribue plus que le coparent","Le coparent joue un plus grand rôle que le NC"),"pas de contexte significatif de la part du coparent et NC")</f>
        <v>Le coparent joue un plus grand rôle que le NC</v>
      </c>
      <c r="AD77" s="10"/>
      <c r="AE77" s="10"/>
      <c r="AF77" s="10"/>
      <c r="AG77" s="591">
        <f>IF(AND($K73=TRUE,$K76=FALSE),AG73,IF(AND($K73=FALSE,$K76=TRUE),AG76,IF(AND($K73=TRUE,$K76=TRUE),AG73+AG76,0)))</f>
        <v>8</v>
      </c>
      <c r="AH77" s="591">
        <f>IF(AND($R73=TRUE,$R76=FALSE),AH73,IF(AND($R73=FALSE,$R76=TRUE),AH76,IF(AND($R73=TRUE,$R76=TRUE),AH73+AH76,0)))</f>
        <v>7</v>
      </c>
      <c r="AI77" s="591">
        <f>IF(AND($U73=TRUE,$U76=FALSE),AI73,IF(AND($U73=FALSE,$U76=TRUE),AI76,IF(AND($U73=TRUE,$U76=TRUE),AI73+AI76,0)))</f>
        <v>0</v>
      </c>
      <c r="AJ77" s="591">
        <f>IF(AND($K73=TRUE,$K76=FALSE),AJ73,IF(AND($K73=FALSE,$K76=TRUE),AJ76,IF(AND($K73=TRUE,$K76=TRUE),AJ73+AJ76,MAX(AJ73,AJ76))))</f>
        <v>8</v>
      </c>
      <c r="AK77" s="591">
        <f>IF(AND($K73=TRUE,$K76=FALSE),AK73,IF(AND($K73=FALSE,$K76=TRUE),AK76,IF(AND($K73=TRUE,$K76=TRUE),AK73+AK76,MAX(AK73,AK76))))</f>
        <v>20</v>
      </c>
      <c r="AL77" s="591">
        <f t="shared" ref="AL77" si="72">IF(AND($R73=TRUE,$R76=FALSE),AL73,IF(AND($R73=FALSE,$R76=TRUE),AL76,IF(AND($R73=TRUE,$R76=TRUE),AL73+AL76,MAX(AL73,AL76))))</f>
        <v>2</v>
      </c>
      <c r="AM77" s="591">
        <f t="shared" ref="AM77" si="73">IF(AND($R73=TRUE,$R76=FALSE),AM73,IF(AND($R73=FALSE,$R76=TRUE),AM76,IF(AND($R73=TRUE,$R76=TRUE),AM73+AM76,MAX(AM73,AM76))))</f>
        <v>7</v>
      </c>
      <c r="AN77" s="591">
        <f t="shared" ref="AN77" si="74">IF(AND($U73=TRUE,$U76=FALSE),AN73,IF(AND($U73=FALSE,$U76=TRUE),AN76,IF(AND($U73=TRUE,$U76=TRUE),AN73+AN76,MAX(AN73,AN76))))</f>
        <v>0</v>
      </c>
      <c r="AO77" s="591">
        <f t="shared" ref="AO77" si="75">IF(AND($U73=TRUE,$U76=FALSE),AO73,IF(AND($U73=FALSE,$U76=TRUE),AO76,IF(AND($U73=TRUE,$U76=TRUE),AO73+AO76,MAX(AO73,AO76))))</f>
        <v>0</v>
      </c>
      <c r="AV77" s="7"/>
      <c r="AX77" s="7"/>
      <c r="AY77" s="734"/>
      <c r="AZ77" s="734"/>
      <c r="BA77" s="87"/>
      <c r="BB77" s="442"/>
      <c r="BC77" s="89"/>
      <c r="BD77" s="446"/>
      <c r="BE77" s="446"/>
      <c r="BF77" s="89"/>
      <c r="BG77" s="447"/>
      <c r="BH77" s="447"/>
      <c r="BI77" s="443"/>
      <c r="BN77" s="25"/>
      <c r="BP77" s="7"/>
      <c r="BQ77" s="7"/>
      <c r="BR77" s="7"/>
      <c r="BS77" s="7"/>
      <c r="BT77" s="7"/>
      <c r="BU77" s="7"/>
      <c r="BV77" s="7"/>
      <c r="BW77" s="7"/>
      <c r="BX77" s="7"/>
      <c r="BY77" s="7"/>
      <c r="BZ77" s="7"/>
    </row>
    <row r="78" spans="1:78" ht="48" x14ac:dyDescent="0.2">
      <c r="A78" t="str">
        <f>IF(Test_Bible!B278="","F","O")</f>
        <v>O</v>
      </c>
      <c r="B78" s="1700" t="str">
        <f>'Cpts AR +indép + Sommaire'!S11</f>
        <v>Altération ou dévoiement de la réalité</v>
      </c>
      <c r="C78" s="287" t="str">
        <f>'Cpts AR +indép + Sommaire'!O11</f>
        <v>E06</v>
      </c>
      <c r="D78" s="25" t="str">
        <f>'Cpts AR +indép + Sommaire'!P11</f>
        <v>Votre enfant vous accuse ou vous reproche d'avoir brisé ou abandonné la famille.</v>
      </c>
      <c r="E78" s="78" t="s">
        <v>275</v>
      </c>
      <c r="F78" s="709">
        <f>'Cpts AR +indép + Sommaire'!Q11</f>
        <v>1</v>
      </c>
      <c r="G78" s="708">
        <f>'Cpts AR +indép + Sommaire'!R11</f>
        <v>1</v>
      </c>
      <c r="H78" s="709">
        <f>F78*G78</f>
        <v>1</v>
      </c>
      <c r="I78" s="1350">
        <v>4</v>
      </c>
      <c r="J78" s="1343">
        <v>10</v>
      </c>
      <c r="K78" s="31" t="b">
        <f>IF(AND(F78&gt;=I78,F78&lt;=J78),TRUE,FALSE)</f>
        <v>0</v>
      </c>
      <c r="L78" s="31"/>
      <c r="M78" s="31"/>
      <c r="N78" s="31"/>
      <c r="O78" s="1351"/>
      <c r="P78" s="1350">
        <v>2</v>
      </c>
      <c r="Q78" s="1343">
        <v>7</v>
      </c>
      <c r="R78" s="1351" t="b">
        <f>IF(AND(F78&gt;=P78,F78&lt;=Q78),TRUE,FALSE)</f>
        <v>0</v>
      </c>
      <c r="S78" s="1350"/>
      <c r="T78" s="1343"/>
      <c r="U78" s="1351"/>
      <c r="V78" s="807"/>
      <c r="W78" s="821" t="s">
        <v>753</v>
      </c>
      <c r="X78" s="822"/>
      <c r="Y78" s="821"/>
      <c r="Z78" s="822"/>
      <c r="AA78" s="821"/>
      <c r="AB78" s="822"/>
      <c r="AD78" s="10"/>
      <c r="AE78" s="10"/>
      <c r="AF78" s="10"/>
      <c r="AG78" s="832">
        <f>IF($K78=TRUE,H78,0)</f>
        <v>0</v>
      </c>
      <c r="AH78" s="832">
        <f>IF($R78=TRUE,H78,0)</f>
        <v>0</v>
      </c>
      <c r="AI78" s="832"/>
      <c r="AJ78" s="1490">
        <f t="shared" ref="AJ78:AJ79" si="76">IF(OR(I78=11,A78="F"),0,G78*I78)</f>
        <v>4</v>
      </c>
      <c r="AK78" s="1490">
        <f t="shared" ref="AK78:AK79" si="77">IF(OR(J78=11,A78="F"),0,G78*J78)</f>
        <v>10</v>
      </c>
      <c r="AL78" s="1490">
        <f t="shared" ref="AL78:AL79" si="78">IF(OR(P78=11,A78="F"),0,G78*P78)</f>
        <v>2</v>
      </c>
      <c r="AM78" s="1490">
        <f t="shared" ref="AM78:AM79" si="79">IF(OR(Q78=11,A78="F"),0,G78*Q78)</f>
        <v>7</v>
      </c>
      <c r="AN78" s="1490">
        <f t="shared" ref="AN78:AN79" si="80">IF(OR(S78=11,A78="F"),0,S78*G78)</f>
        <v>0</v>
      </c>
      <c r="AO78" s="1490">
        <f t="shared" ref="AO78:AO79" si="81">IF(OR(T78=11,A78="F"),0,T78*G78)</f>
        <v>0</v>
      </c>
      <c r="AY78" s="734"/>
      <c r="AZ78" s="734"/>
      <c r="BA78" s="87"/>
      <c r="BB78" s="442"/>
      <c r="BC78" s="89"/>
      <c r="BD78" s="446"/>
      <c r="BE78" s="446"/>
      <c r="BF78" s="89"/>
      <c r="BG78" s="447"/>
      <c r="BH78" s="447"/>
      <c r="BI78" s="443"/>
    </row>
    <row r="79" spans="1:78" ht="20" thickBot="1" x14ac:dyDescent="0.25">
      <c r="B79" s="1700"/>
      <c r="C79" s="287"/>
      <c r="D79" s="25"/>
      <c r="E79" s="78"/>
      <c r="F79" s="709"/>
      <c r="G79" s="708"/>
      <c r="H79" s="709">
        <f>F79*G79</f>
        <v>0</v>
      </c>
      <c r="I79" s="1374">
        <v>11</v>
      </c>
      <c r="J79" s="1375">
        <v>11</v>
      </c>
      <c r="K79" s="31" t="b">
        <f>IF(AND(F79&gt;=I79,F79&lt;=J79),TRUE,FALSE)</f>
        <v>0</v>
      </c>
      <c r="L79" s="31"/>
      <c r="M79" s="31"/>
      <c r="N79" s="31"/>
      <c r="O79" s="1351"/>
      <c r="P79" s="1374">
        <v>11</v>
      </c>
      <c r="Q79" s="1375">
        <v>11</v>
      </c>
      <c r="R79" s="1351" t="b">
        <f>IF(AND(F79&gt;=P79,F79&lt;=Q79),TRUE,FALSE)</f>
        <v>0</v>
      </c>
      <c r="S79" s="1374"/>
      <c r="T79" s="1375"/>
      <c r="U79" s="1351"/>
      <c r="V79" s="807"/>
      <c r="W79" s="821"/>
      <c r="X79" s="822"/>
      <c r="Y79" s="821"/>
      <c r="Z79" s="822"/>
      <c r="AA79" s="821"/>
      <c r="AB79" s="822"/>
      <c r="AD79" s="10"/>
      <c r="AE79" s="10"/>
      <c r="AF79" s="10"/>
      <c r="AG79" s="832">
        <f>IF($K79=TRUE,H79,0)</f>
        <v>0</v>
      </c>
      <c r="AH79" s="832">
        <f>IF($R79=TRUE,H79,0)</f>
        <v>0</v>
      </c>
      <c r="AI79" s="832"/>
      <c r="AJ79" s="1490">
        <f t="shared" si="76"/>
        <v>0</v>
      </c>
      <c r="AK79" s="1490">
        <f t="shared" si="77"/>
        <v>0</v>
      </c>
      <c r="AL79" s="1490">
        <f t="shared" si="78"/>
        <v>0</v>
      </c>
      <c r="AM79" s="1490">
        <f t="shared" si="79"/>
        <v>0</v>
      </c>
      <c r="AN79" s="1490">
        <f t="shared" si="80"/>
        <v>0</v>
      </c>
      <c r="AO79" s="1490">
        <f t="shared" si="81"/>
        <v>0</v>
      </c>
      <c r="AY79" s="734"/>
      <c r="AZ79" s="734"/>
      <c r="BA79" s="87"/>
      <c r="BB79" s="442"/>
      <c r="BC79" s="89"/>
      <c r="BD79" s="446"/>
      <c r="BE79" s="446"/>
      <c r="BF79" s="89"/>
      <c r="BG79" s="447"/>
      <c r="BH79" s="447"/>
      <c r="BI79" s="443"/>
    </row>
    <row r="80" spans="1:78" ht="35" thickBot="1" x14ac:dyDescent="0.25">
      <c r="B80" s="1700"/>
      <c r="C80" s="727" t="s">
        <v>611</v>
      </c>
      <c r="D80" s="728" t="str">
        <f>_xlfn.XLOOKUP(H80,H78:H79,D78:D79)</f>
        <v>Votre enfant vous accuse ou vous reproche d'avoir brisé ou abandonné la famille.</v>
      </c>
      <c r="E80" s="728" t="str">
        <f>_xlfn.XLOOKUP(H80,H78:H79,E78:E79)</f>
        <v>vous reproche d'avoir abandonné la famille</v>
      </c>
      <c r="F80" s="729"/>
      <c r="G80" s="729"/>
      <c r="H80" s="729">
        <f>IF(AND(K78=TRUE,K79=FALSE),H78,IF(AND(K78=FALSE,K79=TRUE),H79,MAX(H78,H79)))</f>
        <v>1</v>
      </c>
      <c r="I80" s="1356"/>
      <c r="J80" s="730"/>
      <c r="K80" s="731" t="b">
        <f>IF(AND(K78=FALSE,K79=FALSE),FALSE,TRUE)</f>
        <v>0</v>
      </c>
      <c r="L80" s="1339"/>
      <c r="M80" s="1339"/>
      <c r="N80" s="1339"/>
      <c r="O80" s="1357"/>
      <c r="P80" s="1356"/>
      <c r="Q80" s="730"/>
      <c r="R80" s="731" t="b">
        <f>IF(AND(R78=FALSE,R79=FALSE),FALSE,TRUE)</f>
        <v>0</v>
      </c>
      <c r="S80" s="1356"/>
      <c r="T80" s="730"/>
      <c r="U80" s="731"/>
      <c r="V80" s="807"/>
      <c r="W80" s="821" t="str">
        <f>IF(K80=TRUE,"V","F")</f>
        <v>F</v>
      </c>
      <c r="X80" s="822"/>
      <c r="Y80" s="821" t="str">
        <f>IF(R80=TRUE,"V","F")</f>
        <v>F</v>
      </c>
      <c r="Z80" s="822"/>
      <c r="AA80" s="821"/>
      <c r="AB80" s="822"/>
      <c r="AD80" s="10"/>
      <c r="AE80" s="10"/>
      <c r="AF80" s="10"/>
      <c r="AG80" s="1742">
        <f>IF(AND($K78=TRUE,$K79=FALSE),AG78,IF(AND($K78=FALSE,$K79=TRUE),AG79,IF(AND($K78=TRUE,$K79=TRUE),MAX(AG78,AG79),0)))</f>
        <v>0</v>
      </c>
      <c r="AH80" s="1742">
        <f>IF(AND($R78=TRUE,$R79=FALSE),AH78,IF(AND($R78=FALSE,$R79=TRUE),AH79,IF(AND($R78=TRUE,$R79=TRUE),MAX(AH78,AH79),0)))</f>
        <v>0</v>
      </c>
      <c r="AI80" s="1742"/>
      <c r="AJ80" s="1742">
        <f>IF(AND($K78=TRUE,$K79=FALSE),AJ78,IF(AND($K78=FALSE,$K79=TRUE),AJ79,IF(AND($K78=TRUE,$K79=TRUE),MAX(AJ78,AJ79),0)))</f>
        <v>0</v>
      </c>
      <c r="AK80" s="1742">
        <f>IF(AND($K78=TRUE,$K79=FALSE),AK78,IF(AND($K78=FALSE,$K79=TRUE),AK79,IF(AND($K78=TRUE,$K79=TRUE),MAX(AK78,AK79),0)))</f>
        <v>0</v>
      </c>
      <c r="AL80" s="1742">
        <f t="shared" ref="AL80" si="82">IF(AND($R78=TRUE,$R79=FALSE),AL78,IF(AND($R78=FALSE,$R79=TRUE),AL79,IF(AND($R78=TRUE,$R79=TRUE),MAX(AL78,AL79),0)))</f>
        <v>0</v>
      </c>
      <c r="AM80" s="1742">
        <f t="shared" ref="AM80" si="83">IF(AND($R78=TRUE,$R79=FALSE),AM78,IF(AND($R78=FALSE,$R79=TRUE),AM79,IF(AND($R78=TRUE,$R79=TRUE),MAX(AM78,AM79),0)))</f>
        <v>0</v>
      </c>
      <c r="AN80" s="1742"/>
      <c r="AO80" s="1742"/>
      <c r="AY80" s="734"/>
      <c r="AZ80" s="734"/>
      <c r="BA80" s="87"/>
      <c r="BB80" s="442"/>
      <c r="BC80" s="89"/>
      <c r="BD80" s="446"/>
      <c r="BE80" s="446"/>
      <c r="BF80" s="89"/>
      <c r="BG80" s="447"/>
      <c r="BH80" s="447"/>
      <c r="BI80" s="443"/>
    </row>
    <row r="81" spans="1:78" ht="51" x14ac:dyDescent="0.2">
      <c r="B81" s="1700"/>
      <c r="D81" s="386" t="s">
        <v>273</v>
      </c>
      <c r="E81" s="705"/>
      <c r="F81" s="439" t="s">
        <v>349</v>
      </c>
      <c r="G81" s="33"/>
      <c r="H81" s="33">
        <f>IF(AND(K77=TRUE,K80=FALSE),H77,IF(AND(K77=FALSE,K80=TRUE),H80,IF(AND(K77=TRUE,K80=TRUE),H77+H80,MAX(H77,H80))))</f>
        <v>8</v>
      </c>
      <c r="I81" s="1358"/>
      <c r="J81" s="440"/>
      <c r="K81" s="1341"/>
      <c r="L81" s="1342" t="str">
        <f>IF(AND(K80=TRUE,K77=TRUE),E80,"")</f>
        <v/>
      </c>
      <c r="M81" s="1342" t="str">
        <f>IF(AND(K77=TRUE,K80=FALSE),"Bien que le parent "&amp;E77&amp;" l'enfant ne semble pas s'ingérer","")</f>
        <v>Bien que le parent laisse entendre que vous ne l'aimez pas l'enfant ne semble pas s'ingérer</v>
      </c>
      <c r="N81" s="1342" t="str">
        <f>IF(AND(K77=FALSE,K80=TRUE),E80&amp;" sans signe de la participation du parent favorisé et|ou nouveau conjoint.e","")</f>
        <v/>
      </c>
      <c r="O81" s="1359" t="str">
        <f>IF(AND(K77=FALSE,K80=FALSE),"aucun comportement significatif de cette nature","")</f>
        <v/>
      </c>
      <c r="P81" s="1358"/>
      <c r="Q81" s="440"/>
      <c r="R81" s="1367"/>
      <c r="S81" s="1358"/>
      <c r="T81" s="440"/>
      <c r="U81" s="1367"/>
      <c r="V81" s="145"/>
      <c r="W81" s="823"/>
      <c r="X81" s="824">
        <f>IF(AND(W77="V",W80="V"),2,IF(OR(W77="V",W80="V"),1,0))</f>
        <v>1</v>
      </c>
      <c r="Y81" s="823"/>
      <c r="Z81" s="824">
        <f>IF(OR(Y77="V",Y80="V"),1,0)</f>
        <v>1</v>
      </c>
      <c r="AA81" s="823"/>
      <c r="AB81" s="824"/>
      <c r="AD81" s="10"/>
      <c r="AE81" s="10"/>
      <c r="AF81" s="10"/>
      <c r="AG81" s="1738">
        <f>IF(AND($W77="V",$W80="F"),AG77,IF(AND($W77="F",$W80="V"),AG80,IF(AND($W77="V",$W80="V"),AG77+AG80,0)))</f>
        <v>8</v>
      </c>
      <c r="AH81" s="1738">
        <f>IF(AND($Y77="V",$Y80="F"),AH77,IF(AND($Y77="F",$Y80="V"),AH80,IF(AND($Y77="V",$Y80="V"),AH77+AH80,0)))</f>
        <v>7</v>
      </c>
      <c r="AI81" s="1738"/>
      <c r="AJ81" s="1738">
        <f>IF(AND($W77="V",$W80="F"),AJ77,IF(AND($W77="F",$W80="V"),AJ80,IF(AND($W77="V",$W80="V"),AJ77+AJ80,0)))</f>
        <v>8</v>
      </c>
      <c r="AK81" s="1738">
        <f>IF(AND($W77="V",$W80="F"),AK77,IF(AND($W77="F",$W80="V"),AK80,IF(AND($W77="V",$W80="V"),AK77+AK80,0)))</f>
        <v>20</v>
      </c>
      <c r="AL81" s="1738">
        <f>IF(AND($Y77="V",$Y80="F"),AL77,IF(AND($Y77="F",$Y80="V"),AL80,IF(AND($Y77="V",$Y80="V"),AL77+AL80,0)))</f>
        <v>2</v>
      </c>
      <c r="AM81" s="1738">
        <f>IF(AND($Y77="V",$Y80="F"),AM77,IF(AND($Y77="F",$Y80="V"),AM80,IF(AND($Y77="V",$Y80="V"),AM77+AM80,0)))</f>
        <v>7</v>
      </c>
      <c r="AN81" s="1738"/>
      <c r="AO81" s="1738"/>
      <c r="AY81" s="734"/>
      <c r="AZ81" s="734"/>
      <c r="BA81" s="87"/>
      <c r="BB81" s="442"/>
      <c r="BC81" s="89"/>
      <c r="BD81" s="446"/>
      <c r="BE81" s="446"/>
      <c r="BF81" s="89"/>
      <c r="BG81" s="447"/>
      <c r="BH81" s="447"/>
      <c r="BI81" s="443"/>
    </row>
    <row r="82" spans="1:78" ht="19" x14ac:dyDescent="0.2">
      <c r="B82" s="1700"/>
      <c r="C82" t="s">
        <v>238</v>
      </c>
      <c r="I82" s="122"/>
      <c r="L82" s="32"/>
      <c r="M82" s="32"/>
      <c r="N82" s="32"/>
      <c r="O82" s="1379"/>
      <c r="P82" s="122"/>
      <c r="R82" s="292"/>
      <c r="S82" s="122"/>
      <c r="U82" s="292"/>
      <c r="V82" s="32"/>
      <c r="W82" s="821"/>
      <c r="X82" s="822"/>
      <c r="Y82" s="821"/>
      <c r="Z82" s="822"/>
      <c r="AA82" s="821"/>
      <c r="AB82" s="822"/>
      <c r="AD82" s="10"/>
      <c r="AE82" s="10"/>
      <c r="AF82" s="10"/>
      <c r="AG82" s="832"/>
      <c r="AH82" s="832"/>
      <c r="AI82" s="832"/>
      <c r="AJ82" s="1490"/>
      <c r="AK82" s="1490"/>
      <c r="AL82" s="1490"/>
      <c r="AM82" s="1490"/>
      <c r="AN82" s="1490"/>
      <c r="AO82" s="1490"/>
      <c r="AY82" s="734"/>
      <c r="AZ82" s="734"/>
      <c r="BA82" s="87"/>
      <c r="BB82" s="442"/>
      <c r="BC82" s="89"/>
      <c r="BD82" s="446"/>
      <c r="BE82" s="446"/>
      <c r="BF82" s="89"/>
      <c r="BG82" s="447"/>
      <c r="BH82" s="447"/>
      <c r="BI82" s="443"/>
    </row>
    <row r="83" spans="1:78" ht="19" x14ac:dyDescent="0.2">
      <c r="B83" s="1700"/>
      <c r="C83" s="825"/>
      <c r="D83" s="829"/>
      <c r="E83" s="826"/>
      <c r="F83" s="830"/>
      <c r="G83" s="830"/>
      <c r="H83" s="830">
        <f>F83*G83</f>
        <v>0</v>
      </c>
      <c r="I83" s="1374">
        <v>11</v>
      </c>
      <c r="J83" s="1375">
        <v>11</v>
      </c>
      <c r="K83" s="31" t="b">
        <f>IF(AND(F83&gt;=I83,F83&lt;=J83),TRUE,FALSE)</f>
        <v>0</v>
      </c>
      <c r="L83" s="26"/>
      <c r="M83" s="26"/>
      <c r="N83" s="26"/>
      <c r="O83" s="1360"/>
      <c r="P83" s="1374">
        <v>11</v>
      </c>
      <c r="Q83" s="1375">
        <v>11</v>
      </c>
      <c r="R83" s="1351" t="b">
        <f>IF(AND(F83&gt;=P83,F83&lt;=Q83),TRUE,FALSE)</f>
        <v>0</v>
      </c>
      <c r="S83" s="1374">
        <v>11</v>
      </c>
      <c r="T83" s="1375">
        <v>11</v>
      </c>
      <c r="U83" s="1351" t="b">
        <f>IF(AND(F83&gt;=S83,F83&lt;=T83),TRUE,FALSE)</f>
        <v>0</v>
      </c>
      <c r="V83" s="32"/>
      <c r="W83" s="821"/>
      <c r="X83" s="822"/>
      <c r="Y83" s="821"/>
      <c r="Z83" s="822"/>
      <c r="AA83" s="821"/>
      <c r="AB83" s="822"/>
      <c r="AD83" s="10"/>
      <c r="AE83" s="10"/>
      <c r="AF83" s="10"/>
      <c r="AG83" s="832">
        <f>IF($K83=TRUE,H83,0)</f>
        <v>0</v>
      </c>
      <c r="AH83" s="832">
        <f>IF($R83=TRUE,H83,0)</f>
        <v>0</v>
      </c>
      <c r="AI83" s="832">
        <f>IF($U83=TRUE,H83,0)</f>
        <v>0</v>
      </c>
      <c r="AJ83" s="1490">
        <f t="shared" ref="AJ83:AJ84" si="84">IF(OR(I83=11,A83="F"),0,G83*I83)</f>
        <v>0</v>
      </c>
      <c r="AK83" s="1490">
        <f t="shared" ref="AK83:AK84" si="85">IF(OR(J83=11,A83="F"),0,G83*J83)</f>
        <v>0</v>
      </c>
      <c r="AL83" s="1490">
        <f t="shared" ref="AL83:AL84" si="86">IF(OR(P83=11,A83="F"),0,G83*P83)</f>
        <v>0</v>
      </c>
      <c r="AM83" s="1490">
        <f t="shared" ref="AM83:AM84" si="87">IF(OR(Q83=11,A83="F"),0,G83*Q83)</f>
        <v>0</v>
      </c>
      <c r="AN83" s="1490">
        <f t="shared" ref="AN83:AN84" si="88">IF(OR(S83=11,A83="F"),0,S83*G83)</f>
        <v>0</v>
      </c>
      <c r="AO83" s="1490">
        <f t="shared" ref="AO83:AO84" si="89">IF(OR(T83=11,A83="F"),0,T83*G83)</f>
        <v>0</v>
      </c>
      <c r="AY83" s="734"/>
      <c r="AZ83" s="734"/>
      <c r="BA83" s="87"/>
      <c r="BB83" s="442"/>
      <c r="BC83" s="89"/>
      <c r="BD83" s="446"/>
      <c r="BE83" s="446"/>
      <c r="BF83" s="89"/>
      <c r="BG83" s="447"/>
      <c r="BH83" s="447"/>
      <c r="BI83" s="443"/>
    </row>
    <row r="84" spans="1:78" ht="20" thickBot="1" x14ac:dyDescent="0.25">
      <c r="B84" s="1700"/>
      <c r="C84" s="825"/>
      <c r="D84" s="829"/>
      <c r="E84" s="826"/>
      <c r="F84" s="830"/>
      <c r="G84" s="830"/>
      <c r="H84" s="830">
        <f>F84*G84</f>
        <v>0</v>
      </c>
      <c r="I84" s="1374">
        <v>11</v>
      </c>
      <c r="J84" s="1375">
        <v>11</v>
      </c>
      <c r="K84" s="31" t="b">
        <f>IF(AND(F84&gt;=I84,F84&lt;=J84),TRUE,FALSE)</f>
        <v>0</v>
      </c>
      <c r="L84" s="26"/>
      <c r="M84" s="26"/>
      <c r="N84" s="26"/>
      <c r="O84" s="1360"/>
      <c r="P84" s="1374">
        <v>11</v>
      </c>
      <c r="Q84" s="1375">
        <v>11</v>
      </c>
      <c r="R84" s="1351" t="b">
        <f>IF(AND(F84&gt;=P84,F84&lt;=Q84),TRUE,FALSE)</f>
        <v>0</v>
      </c>
      <c r="S84" s="1374">
        <v>11</v>
      </c>
      <c r="T84" s="1375">
        <v>11</v>
      </c>
      <c r="U84" s="1351" t="b">
        <f>IF(AND(F84&gt;=S84,F84&lt;=T84),TRUE,FALSE)</f>
        <v>0</v>
      </c>
      <c r="W84" s="821"/>
      <c r="X84" s="822"/>
      <c r="Y84" s="821"/>
      <c r="Z84" s="822"/>
      <c r="AA84" s="821"/>
      <c r="AB84" s="822"/>
      <c r="AD84" s="10"/>
      <c r="AE84" s="10"/>
      <c r="AF84" s="10"/>
      <c r="AG84" s="832">
        <f>IF($K84=TRUE,H84,0)</f>
        <v>0</v>
      </c>
      <c r="AH84" s="832">
        <f>IF($R84=TRUE,H84,0)</f>
        <v>0</v>
      </c>
      <c r="AI84" s="832">
        <f>IF($U84=TRUE,H84,0)</f>
        <v>0</v>
      </c>
      <c r="AJ84" s="1490">
        <f t="shared" si="84"/>
        <v>0</v>
      </c>
      <c r="AK84" s="1490">
        <f t="shared" si="85"/>
        <v>0</v>
      </c>
      <c r="AL84" s="1490">
        <f t="shared" si="86"/>
        <v>0</v>
      </c>
      <c r="AM84" s="1490">
        <f t="shared" si="87"/>
        <v>0</v>
      </c>
      <c r="AN84" s="1490">
        <f t="shared" si="88"/>
        <v>0</v>
      </c>
      <c r="AO84" s="1490">
        <f t="shared" si="89"/>
        <v>0</v>
      </c>
      <c r="AY84" s="734"/>
      <c r="AZ84" s="734"/>
      <c r="BA84" s="87"/>
      <c r="BB84" s="442"/>
      <c r="BC84" s="89"/>
      <c r="BD84" s="446"/>
      <c r="BE84" s="446"/>
      <c r="BF84" s="89"/>
      <c r="BG84" s="447"/>
      <c r="BH84" s="447"/>
      <c r="BI84" s="443"/>
    </row>
    <row r="85" spans="1:78" ht="27" thickBot="1" x14ac:dyDescent="0.35">
      <c r="E85" s="732"/>
      <c r="F85" s="73"/>
      <c r="G85" s="73"/>
      <c r="H85" s="33">
        <f>IF(AND(K83=TRUE,K84=FALSE),H83,IF(AND(K83=FALSE,K84=TRUE),H84,MAX(H83,H84)))</f>
        <v>0</v>
      </c>
      <c r="I85" s="1371"/>
      <c r="J85" s="1372"/>
      <c r="K85" s="1378" t="b">
        <f>IF(AND(K83=FALSE,K84=FALSE),FALSE,TRUE)</f>
        <v>0</v>
      </c>
      <c r="L85" s="1361"/>
      <c r="M85" s="1362"/>
      <c r="N85" s="1362"/>
      <c r="O85" s="1363"/>
      <c r="P85" s="1371"/>
      <c r="Q85" s="1372"/>
      <c r="R85" s="1378" t="b">
        <f>IF(AND(R83=FALSE,R84=FALSE),FALSE,TRUE)</f>
        <v>0</v>
      </c>
      <c r="S85" s="1383"/>
      <c r="T85" s="1384"/>
      <c r="U85" s="1385" t="b">
        <f>IF(AND(U83=FALSE,U84=FALSE),FALSE,TRUE)</f>
        <v>0</v>
      </c>
      <c r="V85" s="73"/>
      <c r="W85" s="1315" t="str">
        <f>IF(K85=TRUE,"V","F")</f>
        <v>F</v>
      </c>
      <c r="X85" s="1316"/>
      <c r="Y85" s="1315" t="str">
        <f>IF(R85=TRUE,"V","F")</f>
        <v>F</v>
      </c>
      <c r="Z85" s="1316"/>
      <c r="AA85" s="1315" t="str">
        <f>IF(U85=TRUE,"V","F")</f>
        <v>F</v>
      </c>
      <c r="AB85" s="1316"/>
      <c r="AD85" s="10"/>
      <c r="AE85" s="10"/>
      <c r="AF85" s="10"/>
      <c r="AG85" s="1742">
        <f>IF(AND($K83=TRUE,$K84=FALSE),AG83,IF(AND($K83=FALSE,$K84=TRUE),AG84,MAX(AG83,AG84)))</f>
        <v>0</v>
      </c>
      <c r="AH85" s="1742">
        <f>IF(AND($R83=TRUE,$R84=FALSE),AH83,IF(AND($R83=FALSE,$R84=TRUE),AH84,MAX(AH83,AH84)))</f>
        <v>0</v>
      </c>
      <c r="AI85" s="1742">
        <f>IF(AND($U83=TRUE,$U84=FALSE),AI83,IF(AND($U83=FALSE,$U84=TRUE),AI84,MAX(AI83,AI84)))</f>
        <v>0</v>
      </c>
      <c r="AJ85" s="1742">
        <f>IF(AND($K83=TRUE,$K84=FALSE),AJ83,IF(AND($K83=FALSE,$K84=TRUE),AJ84,MAX(AJ83,AJ84)))</f>
        <v>0</v>
      </c>
      <c r="AK85" s="1742">
        <f>IF(AND($K83=TRUE,$K84=FALSE),AK83,IF(AND($K83=FALSE,$K84=TRUE),AK84,MAX(AK83,AK84)))</f>
        <v>0</v>
      </c>
      <c r="AL85" s="1742">
        <f>IF(AND($R83=TRUE,$R84=FALSE),AL83,IF(AND($R83=FALSE,$R84=TRUE),AL84,MAX(AL83,AL84)))</f>
        <v>0</v>
      </c>
      <c r="AM85" s="1742">
        <f>IF(AND($R83=TRUE,$R84=FALSE),AM83,IF(AND($R83=FALSE,$R84=TRUE),AM84,MAX(AM83,AM84)))</f>
        <v>0</v>
      </c>
      <c r="AN85" s="1742">
        <f>IF(AND($U83=TRUE,$U84=FALSE),AN83,IF(AND($U83=FALSE,$U84=TRUE),AN84,MAX(AN83,AN84)))</f>
        <v>0</v>
      </c>
      <c r="AO85" s="1742">
        <f>IF(AND($U83=TRUE,$U84=FALSE),AO83,IF(AND($U83=FALSE,$U84=TRUE),AO84,MAX(AO83,AO84)))</f>
        <v>0</v>
      </c>
      <c r="AY85" s="734"/>
      <c r="AZ85" s="734"/>
      <c r="BA85" s="87"/>
      <c r="BB85" s="442"/>
      <c r="BC85" s="89"/>
      <c r="BD85" s="446"/>
      <c r="BE85" s="446"/>
      <c r="BF85" s="89"/>
      <c r="BG85" s="447"/>
      <c r="BH85" s="447"/>
      <c r="BI85" s="443"/>
    </row>
    <row r="86" spans="1:78" ht="27" thickBot="1" x14ac:dyDescent="0.35">
      <c r="E86" s="732"/>
      <c r="F86" s="73"/>
      <c r="G86" s="73"/>
      <c r="H86" s="73"/>
      <c r="I86" s="73"/>
      <c r="J86" s="73"/>
      <c r="K86" s="73"/>
      <c r="L86" s="733"/>
      <c r="M86" s="733"/>
      <c r="N86" s="733"/>
      <c r="O86" s="73"/>
      <c r="P86" s="73"/>
      <c r="Q86" s="73"/>
      <c r="R86" s="73"/>
      <c r="S86" s="73"/>
      <c r="T86" s="73"/>
      <c r="U86" s="73"/>
      <c r="V86" s="73"/>
      <c r="W86" s="1376"/>
      <c r="X86" s="1377">
        <f>IF(AND(W85="V",W77="V"),X81-1,X81)</f>
        <v>1</v>
      </c>
      <c r="Y86" s="1376"/>
      <c r="Z86" s="1377">
        <f>IF(OR(Y77="V",Y80="V",Y85="V"),1,0)</f>
        <v>1</v>
      </c>
      <c r="AA86" s="1376"/>
      <c r="AB86" s="1377">
        <f>IF(AA77="V",1,IF(AA85="V",1,0))</f>
        <v>0</v>
      </c>
      <c r="AD86" s="10">
        <f>X86</f>
        <v>1</v>
      </c>
      <c r="AE86" s="10">
        <f>Z86</f>
        <v>1</v>
      </c>
      <c r="AF86" s="10">
        <f>AB86</f>
        <v>0</v>
      </c>
      <c r="AG86" s="1741">
        <f>IF($W85="F",AG81,AG81+AG85)</f>
        <v>8</v>
      </c>
      <c r="AH86" s="1741">
        <f>IF($Y85="F",AH81,AH81+AH85)</f>
        <v>7</v>
      </c>
      <c r="AI86" s="1741">
        <f>IF(AND($AA77="V",$AA85="F"),AI77,IF(AND($AA77="F",$AA85="V"),AI85,IF(AND($AA77="V",$AA85="V"),AI77+AI85,0)))</f>
        <v>0</v>
      </c>
      <c r="AJ86" s="1741">
        <f>IF($W85="F",AJ81,AJ81+AJ85)</f>
        <v>8</v>
      </c>
      <c r="AK86" s="1741">
        <f t="shared" ref="AK86" si="90">IF($W85="F",AK81,AK81+AK85)</f>
        <v>20</v>
      </c>
      <c r="AL86" s="1741">
        <f t="shared" ref="AL86" si="91">IF($Y85="F",AL81,AL81+AL85)</f>
        <v>2</v>
      </c>
      <c r="AM86" s="1741">
        <f t="shared" ref="AM86" si="92">IF($Y85="F",AM81,AM81+AM85)</f>
        <v>7</v>
      </c>
      <c r="AN86" s="1741">
        <f t="shared" ref="AN86" si="93">IF(AND($AA77="V",$AA85="F"),AN77,IF(AND($AA77="F",$AA85="V"),AN85,IF(AND($AA77="V",$AA85="V"),AN77+AN85,0)))</f>
        <v>0</v>
      </c>
      <c r="AO86" s="1741">
        <f t="shared" ref="AO86" si="94">IF(AND($AA77="V",$AA85="F"),AO77,IF(AND($AA77="F",$AA85="V"),AO85,IF(AND($AA77="V",$AA85="V"),AO77+AO85,0)))</f>
        <v>0</v>
      </c>
      <c r="AY86" s="734"/>
      <c r="AZ86" s="734"/>
      <c r="BA86" s="87"/>
      <c r="BB86" s="442"/>
      <c r="BC86" s="89"/>
      <c r="BD86" s="446"/>
      <c r="BE86" s="446"/>
      <c r="BF86" s="89"/>
      <c r="BG86" s="447"/>
      <c r="BH86" s="447"/>
      <c r="BI86" s="443"/>
    </row>
    <row r="87" spans="1:78" x14ac:dyDescent="0.3">
      <c r="E87" s="732"/>
      <c r="F87" s="73"/>
      <c r="G87" s="73"/>
      <c r="H87" s="73"/>
      <c r="I87" s="2609" t="s">
        <v>1090</v>
      </c>
      <c r="J87" s="2610"/>
      <c r="K87" s="2611"/>
      <c r="L87" s="2603"/>
      <c r="M87" s="2603"/>
      <c r="N87" s="2603"/>
      <c r="O87" s="1347"/>
      <c r="P87" s="2606" t="s">
        <v>1089</v>
      </c>
      <c r="Q87" s="2607"/>
      <c r="R87" s="2608"/>
      <c r="S87" s="1394" t="s">
        <v>1088</v>
      </c>
      <c r="T87" s="1346"/>
      <c r="U87" s="1347"/>
      <c r="V87" s="73"/>
      <c r="W87" s="1387"/>
      <c r="X87" s="1388"/>
      <c r="Y87" s="1231"/>
      <c r="Z87" s="1231"/>
      <c r="AA87" s="1231"/>
      <c r="AB87" s="1231"/>
      <c r="AD87" s="10"/>
      <c r="AE87" s="10"/>
      <c r="AF87" s="10"/>
      <c r="AY87" s="734"/>
      <c r="AZ87" s="734"/>
      <c r="BA87" s="87"/>
      <c r="BB87" s="442"/>
      <c r="BC87" s="89"/>
      <c r="BD87" s="446"/>
      <c r="BE87" s="446"/>
      <c r="BF87" s="89"/>
      <c r="BG87" s="447"/>
      <c r="BH87" s="447"/>
      <c r="BI87" s="443"/>
    </row>
    <row r="88" spans="1:78" x14ac:dyDescent="0.3">
      <c r="B88" s="1699">
        <v>3</v>
      </c>
      <c r="D88" s="441" t="str">
        <f>'Cpts AR +indép + Sommaire'!B14</f>
        <v>Accusation de maladie mentale et dangerosité</v>
      </c>
      <c r="E88" s="84"/>
      <c r="F88" s="50"/>
      <c r="G88" s="18"/>
      <c r="H88" s="18"/>
      <c r="I88" s="2595" t="s">
        <v>604</v>
      </c>
      <c r="J88" s="2596"/>
      <c r="K88" s="2596"/>
      <c r="L88" s="2597" t="s">
        <v>1086</v>
      </c>
      <c r="M88" s="2597"/>
      <c r="N88" s="2597"/>
      <c r="O88" s="2598"/>
      <c r="P88" s="2599" t="s">
        <v>603</v>
      </c>
      <c r="Q88" s="2600"/>
      <c r="R88" s="2601"/>
      <c r="S88" s="2590" t="s">
        <v>605</v>
      </c>
      <c r="T88" s="2591"/>
      <c r="U88" s="2592"/>
      <c r="V88" s="15"/>
      <c r="W88" s="817"/>
      <c r="X88" s="817"/>
      <c r="Y88" s="817"/>
      <c r="Z88" s="817"/>
      <c r="AA88" s="817"/>
      <c r="AB88" s="818"/>
      <c r="AD88" s="10"/>
      <c r="AE88" s="10"/>
      <c r="AF88" s="10"/>
      <c r="AG88" s="1386" t="s">
        <v>604</v>
      </c>
      <c r="AH88" s="1386" t="s">
        <v>603</v>
      </c>
      <c r="AI88" s="1386" t="s">
        <v>605</v>
      </c>
      <c r="AJ88" s="2589" t="s">
        <v>604</v>
      </c>
      <c r="AK88" s="2589"/>
      <c r="AL88" s="2589" t="s">
        <v>603</v>
      </c>
      <c r="AM88" s="2589"/>
      <c r="AN88" s="2589" t="s">
        <v>605</v>
      </c>
      <c r="AO88" s="2589"/>
      <c r="AY88" s="734"/>
      <c r="AZ88" s="734"/>
      <c r="BA88" s="87"/>
      <c r="BB88" s="442"/>
      <c r="BC88" s="89"/>
      <c r="BD88" s="446"/>
      <c r="BE88" s="446"/>
      <c r="BF88" s="89"/>
      <c r="BG88" s="447"/>
      <c r="BH88" s="447"/>
      <c r="BI88" s="443"/>
    </row>
    <row r="89" spans="1:78" ht="34" x14ac:dyDescent="0.2">
      <c r="B89" s="1700"/>
      <c r="D89" s="79" t="s">
        <v>779</v>
      </c>
      <c r="E89" s="835" t="s">
        <v>778</v>
      </c>
      <c r="F89" s="26" t="s">
        <v>226</v>
      </c>
      <c r="G89" s="26" t="s">
        <v>22</v>
      </c>
      <c r="H89" s="26" t="s">
        <v>612</v>
      </c>
      <c r="I89" s="1348" t="s">
        <v>269</v>
      </c>
      <c r="J89" s="29" t="s">
        <v>270</v>
      </c>
      <c r="K89" s="29" t="s">
        <v>271</v>
      </c>
      <c r="L89" s="29" t="s">
        <v>363</v>
      </c>
      <c r="M89" s="29" t="s">
        <v>339</v>
      </c>
      <c r="N89" s="29" t="s">
        <v>340</v>
      </c>
      <c r="O89" s="1349" t="s">
        <v>341</v>
      </c>
      <c r="P89" s="1348" t="s">
        <v>269</v>
      </c>
      <c r="Q89" s="29" t="s">
        <v>270</v>
      </c>
      <c r="R89" s="1349" t="s">
        <v>271</v>
      </c>
      <c r="S89" s="1348" t="s">
        <v>269</v>
      </c>
      <c r="T89" s="29" t="s">
        <v>270</v>
      </c>
      <c r="U89" s="1349" t="s">
        <v>271</v>
      </c>
      <c r="V89" s="736"/>
      <c r="W89" s="827" t="s">
        <v>604</v>
      </c>
      <c r="X89" s="828" t="s">
        <v>754</v>
      </c>
      <c r="Y89" s="827" t="s">
        <v>603</v>
      </c>
      <c r="Z89" s="828" t="s">
        <v>755</v>
      </c>
      <c r="AA89" s="827" t="s">
        <v>605</v>
      </c>
      <c r="AB89" s="828" t="s">
        <v>756</v>
      </c>
      <c r="AD89" s="10"/>
      <c r="AE89" s="10"/>
      <c r="AF89" s="10"/>
      <c r="AG89" s="10"/>
      <c r="AH89" s="10"/>
      <c r="AI89" s="10"/>
      <c r="AJ89" s="1490" t="s">
        <v>1058</v>
      </c>
      <c r="AK89" s="1490" t="s">
        <v>1059</v>
      </c>
      <c r="AL89" s="1490" t="s">
        <v>1058</v>
      </c>
      <c r="AM89" s="1490" t="s">
        <v>1059</v>
      </c>
      <c r="AN89" s="1490" t="s">
        <v>1058</v>
      </c>
      <c r="AO89" s="1490" t="s">
        <v>1059</v>
      </c>
      <c r="AY89" s="734"/>
      <c r="AZ89" s="734"/>
      <c r="BA89" s="87"/>
      <c r="BB89" s="442"/>
      <c r="BC89" s="89"/>
      <c r="BD89" s="446"/>
      <c r="BE89" s="446"/>
      <c r="BF89" s="89"/>
      <c r="BG89" s="447"/>
      <c r="BH89" s="447"/>
      <c r="BI89" s="443"/>
    </row>
    <row r="90" spans="1:78" ht="51" x14ac:dyDescent="0.2">
      <c r="A90" t="str">
        <f>IF(Test_Bible!B174="","F","O")</f>
        <v>O</v>
      </c>
      <c r="B90" s="1531" t="str">
        <f>'Cpts AR +indép + Sommaire'!G14</f>
        <v>Altération ou dévoiement de la réalité</v>
      </c>
      <c r="C90" s="379" t="str">
        <f>'Cpts AR +indép + Sommaire'!C14</f>
        <v>PFA05a</v>
      </c>
      <c r="D90" s="25" t="str">
        <f>'Cpts AR +indép + Sommaire'!D14</f>
        <v>L’autre parent laisse entendre à votre enfant que vous souffrez d’une maladie mentale ou que vous êtes instable psychologiquement.</v>
      </c>
      <c r="E90" s="78" t="s">
        <v>344</v>
      </c>
      <c r="F90" s="709">
        <f>'Cpts AR +indép + Sommaire'!E14</f>
        <v>10</v>
      </c>
      <c r="G90" s="709">
        <f>'Cpts AR +indép + Sommaire'!F14</f>
        <v>2</v>
      </c>
      <c r="H90" s="709">
        <f>F90*G90</f>
        <v>20</v>
      </c>
      <c r="I90" s="1350">
        <v>4</v>
      </c>
      <c r="J90" s="1343">
        <v>10</v>
      </c>
      <c r="K90" s="31" t="b">
        <f>IF(AND(F90&gt;=I90,F90&lt;=J90),TRUE,FALSE)</f>
        <v>1</v>
      </c>
      <c r="L90" s="31"/>
      <c r="M90" s="31"/>
      <c r="N90" s="31"/>
      <c r="O90" s="1351"/>
      <c r="P90" s="1374">
        <v>11</v>
      </c>
      <c r="Q90" s="1375">
        <v>11</v>
      </c>
      <c r="R90" s="1351" t="b">
        <f>IF(AND(F90&gt;=P90,F90&lt;=Q90),TRUE,FALSE)</f>
        <v>0</v>
      </c>
      <c r="S90" s="1350">
        <v>2</v>
      </c>
      <c r="T90" s="1343">
        <v>7</v>
      </c>
      <c r="U90" s="1351" t="b">
        <f>IF(AND(F90&gt;=S90,F90&lt;=T90),TRUE,FALSE)</f>
        <v>0</v>
      </c>
      <c r="V90" s="807"/>
      <c r="W90" s="819"/>
      <c r="X90" s="820"/>
      <c r="Y90" s="819"/>
      <c r="Z90" s="820"/>
      <c r="AA90" s="819"/>
      <c r="AB90" s="820"/>
      <c r="AD90" s="10"/>
      <c r="AE90" s="10"/>
      <c r="AF90" s="10"/>
      <c r="AG90" s="832">
        <f>IF($K90=TRUE,H90,0)</f>
        <v>20</v>
      </c>
      <c r="AH90" s="832">
        <f>IF($R90=TRUE,H90,0)</f>
        <v>0</v>
      </c>
      <c r="AI90" s="832">
        <f>IF($U90=TRUE,H90,0)</f>
        <v>0</v>
      </c>
      <c r="AJ90" s="1490">
        <f t="shared" ref="AJ90:AJ91" si="95">IF(OR(I90=11,A90="F"),0,G90*I90)</f>
        <v>8</v>
      </c>
      <c r="AK90" s="1490">
        <f t="shared" ref="AK90:AK91" si="96">IF(OR(J90=11,A90="F"),0,G90*J90)</f>
        <v>20</v>
      </c>
      <c r="AL90" s="1490">
        <f t="shared" ref="AL90:AL91" si="97">IF(OR(P90=11,A90="F"),0,G90*P90)</f>
        <v>0</v>
      </c>
      <c r="AM90" s="1490">
        <f t="shared" ref="AM90:AM91" si="98">IF(OR(Q90=11,A90="F"),0,G90*Q90)</f>
        <v>0</v>
      </c>
      <c r="AN90" s="1490">
        <f t="shared" ref="AN90:AN91" si="99">IF(OR(S90=11,A90="F"),0,S90*G90)</f>
        <v>4</v>
      </c>
      <c r="AO90" s="1490">
        <f t="shared" ref="AO90:AO91" si="100">IF(OR(T90=11,A90="F"),0,T90*G90)</f>
        <v>14</v>
      </c>
      <c r="AY90" s="734"/>
      <c r="AZ90" s="734"/>
      <c r="BA90" s="87"/>
      <c r="BB90" s="442"/>
      <c r="BC90" s="89"/>
      <c r="BD90" s="446"/>
      <c r="BE90" s="446"/>
      <c r="BF90" s="89"/>
      <c r="BG90" s="447"/>
      <c r="BH90" s="447"/>
      <c r="BI90" s="443"/>
    </row>
    <row r="91" spans="1:78" ht="19" x14ac:dyDescent="0.2">
      <c r="B91" s="1702"/>
      <c r="C91" s="379"/>
      <c r="D91" s="25"/>
      <c r="E91" s="78"/>
      <c r="F91" s="709"/>
      <c r="G91" s="708"/>
      <c r="H91" s="709">
        <f>F91*G91</f>
        <v>0</v>
      </c>
      <c r="I91" s="1374">
        <v>11</v>
      </c>
      <c r="J91" s="1375">
        <v>11</v>
      </c>
      <c r="K91" s="31" t="b">
        <f>IF(AND(F91&gt;=I91,F91&lt;=J91),TRUE,FALSE)</f>
        <v>0</v>
      </c>
      <c r="L91" s="31"/>
      <c r="M91" s="31"/>
      <c r="N91" s="31"/>
      <c r="O91" s="1351"/>
      <c r="P91" s="1374">
        <v>11</v>
      </c>
      <c r="Q91" s="1375">
        <v>11</v>
      </c>
      <c r="R91" s="1351" t="b">
        <f>IF(AND(F91&gt;=P91,F91&lt;=Q91),TRUE,FALSE)</f>
        <v>0</v>
      </c>
      <c r="S91" s="1374">
        <v>11</v>
      </c>
      <c r="T91" s="1375">
        <v>11</v>
      </c>
      <c r="U91" s="1351" t="b">
        <f>IF(AND(F91&gt;=S91,F91&lt;=T91),TRUE,FALSE)</f>
        <v>0</v>
      </c>
      <c r="V91" s="807"/>
      <c r="W91" s="821"/>
      <c r="X91" s="822"/>
      <c r="Y91" s="821"/>
      <c r="Z91" s="822"/>
      <c r="AA91" s="821"/>
      <c r="AB91" s="822"/>
      <c r="AD91" s="10"/>
      <c r="AE91" s="10"/>
      <c r="AF91" s="10"/>
      <c r="AG91" s="832">
        <f>IF($K91=TRUE,H91,0)</f>
        <v>0</v>
      </c>
      <c r="AH91" s="832">
        <f>IF($R91=TRUE,H91,0)</f>
        <v>0</v>
      </c>
      <c r="AI91" s="832">
        <f>IF($U91=TRUE,H91,0)</f>
        <v>0</v>
      </c>
      <c r="AJ91" s="1490">
        <f t="shared" si="95"/>
        <v>0</v>
      </c>
      <c r="AK91" s="1490">
        <f t="shared" si="96"/>
        <v>0</v>
      </c>
      <c r="AL91" s="1490">
        <f t="shared" si="97"/>
        <v>0</v>
      </c>
      <c r="AM91" s="1490">
        <f t="shared" si="98"/>
        <v>0</v>
      </c>
      <c r="AN91" s="1490">
        <f t="shared" si="99"/>
        <v>0</v>
      </c>
      <c r="AO91" s="1490">
        <f t="shared" si="100"/>
        <v>0</v>
      </c>
      <c r="AY91" s="734"/>
      <c r="AZ91" s="734"/>
      <c r="BA91" s="87"/>
      <c r="BB91" s="442"/>
      <c r="BC91" s="89"/>
      <c r="BD91" s="446"/>
      <c r="BE91" s="446"/>
      <c r="BF91" s="89"/>
      <c r="BG91" s="447"/>
      <c r="BH91" s="447"/>
      <c r="BI91" s="443"/>
    </row>
    <row r="92" spans="1:78" ht="51" x14ac:dyDescent="0.2">
      <c r="B92" s="1531"/>
      <c r="C92" s="710" t="s">
        <v>609</v>
      </c>
      <c r="D92" s="711" t="str">
        <f>_xlfn.XLOOKUP(H92,H90:H91,D90:D91)</f>
        <v>L’autre parent laisse entendre à votre enfant que vous souffrez d’une maladie mentale ou que vous êtes instable psychologiquement.</v>
      </c>
      <c r="E92" s="712" t="str">
        <f>_xlfn.XLOOKUP(H92,H90:H91,E90:E91)</f>
        <v>laisse entendre que vous êtes instable psychologiquement</v>
      </c>
      <c r="F92" s="713"/>
      <c r="G92" s="713"/>
      <c r="H92" s="713">
        <f>IF(AND(K90=TRUE,K91=FALSE),H90,IF(AND(K90=FALSE,K91=TRUE),H91,MAX(H90,H91)))</f>
        <v>20</v>
      </c>
      <c r="I92" s="1352"/>
      <c r="J92" s="714"/>
      <c r="K92" s="715" t="b">
        <f>IF(AND(K90=FALSE,K91=FALSE),FALSE,TRUE)</f>
        <v>1</v>
      </c>
      <c r="L92" s="31"/>
      <c r="M92" s="31"/>
      <c r="N92" s="31"/>
      <c r="O92" s="1351"/>
      <c r="P92" s="1352"/>
      <c r="Q92" s="714"/>
      <c r="R92" s="1365" t="b">
        <f>IF(AND(R90=FALSE,R91=FALSE),FALSE,TRUE)</f>
        <v>0</v>
      </c>
      <c r="S92" s="1352"/>
      <c r="T92" s="714"/>
      <c r="U92" s="1365" t="b">
        <f>IF(AND(U90=FALSE,U91=FALSE),FALSE,TRUE)</f>
        <v>0</v>
      </c>
      <c r="V92" s="807"/>
      <c r="W92" s="821"/>
      <c r="X92" s="822"/>
      <c r="Y92" s="821"/>
      <c r="Z92" s="822"/>
      <c r="AA92" s="821"/>
      <c r="AB92" s="822"/>
      <c r="AD92" s="10"/>
      <c r="AE92" s="10"/>
      <c r="AF92" s="10"/>
      <c r="AG92" s="1740">
        <f>IF($K92=TRUE,MAX(AG90:AG91),0)</f>
        <v>20</v>
      </c>
      <c r="AH92" s="1740">
        <f>IF($R92=TRUE,MAX(AH90:AH91),0)</f>
        <v>0</v>
      </c>
      <c r="AI92" s="1740">
        <f>IF($U92=TRUE,MAX(AI90:AI91),0)</f>
        <v>0</v>
      </c>
      <c r="AJ92" s="1739">
        <f>MAX(AJ90:AJ91)</f>
        <v>8</v>
      </c>
      <c r="AK92" s="1739">
        <f t="shared" ref="AK92" si="101">MAX(AK90:AK91)</f>
        <v>20</v>
      </c>
      <c r="AL92" s="1739">
        <f t="shared" ref="AL92" si="102">MAX(AL90:AL91)</f>
        <v>0</v>
      </c>
      <c r="AM92" s="1739">
        <f t="shared" ref="AM92" si="103">MAX(AM90:AM91)</f>
        <v>0</v>
      </c>
      <c r="AN92" s="1739">
        <f t="shared" ref="AN92" si="104">MAX(AN90:AN91)</f>
        <v>4</v>
      </c>
      <c r="AO92" s="1739">
        <f t="shared" ref="AO92" si="105">MAX(AO90:AO91)</f>
        <v>14</v>
      </c>
      <c r="AY92" s="734"/>
      <c r="AZ92" s="734"/>
      <c r="BA92" s="87"/>
      <c r="BB92" s="442"/>
      <c r="BC92" s="89"/>
      <c r="BD92" s="446"/>
      <c r="BE92" s="446"/>
      <c r="BF92" s="89"/>
      <c r="BG92" s="447"/>
      <c r="BH92" s="447"/>
      <c r="BI92" s="443"/>
    </row>
    <row r="93" spans="1:78" ht="19" x14ac:dyDescent="0.2">
      <c r="B93" s="1700"/>
      <c r="C93" s="38"/>
      <c r="D93" s="25"/>
      <c r="E93" s="78"/>
      <c r="F93" s="709"/>
      <c r="G93" s="708"/>
      <c r="H93" s="709">
        <f>F93*G93</f>
        <v>0</v>
      </c>
      <c r="I93" s="1374">
        <v>11</v>
      </c>
      <c r="J93" s="1375">
        <v>11</v>
      </c>
      <c r="K93" s="31" t="b">
        <f>IF(AND(F93&gt;=I93,F93&lt;=J93),TRUE,FALSE)</f>
        <v>0</v>
      </c>
      <c r="L93" s="31"/>
      <c r="M93" s="31"/>
      <c r="N93" s="31"/>
      <c r="O93" s="1351"/>
      <c r="P93" s="1374">
        <v>11</v>
      </c>
      <c r="Q93" s="1375">
        <v>11</v>
      </c>
      <c r="R93" s="1351" t="b">
        <f>IF(AND(F93&gt;=P93,F93&lt;=Q93),TRUE,FALSE)</f>
        <v>0</v>
      </c>
      <c r="S93" s="1374">
        <v>11</v>
      </c>
      <c r="T93" s="1375">
        <v>11</v>
      </c>
      <c r="U93" s="1351" t="b">
        <f>IF(AND(F93&gt;=S93,F93&lt;=T93),TRUE,FALSE)</f>
        <v>0</v>
      </c>
      <c r="V93" s="807"/>
      <c r="W93" s="821"/>
      <c r="X93" s="822"/>
      <c r="Y93" s="821"/>
      <c r="Z93" s="822"/>
      <c r="AA93" s="821"/>
      <c r="AB93" s="822"/>
      <c r="AD93" s="10"/>
      <c r="AE93" s="10"/>
      <c r="AF93" s="10"/>
      <c r="AG93" s="832">
        <f>IF(K93=TRUE,H93,0)</f>
        <v>0</v>
      </c>
      <c r="AH93" s="832">
        <f>IF(R93=TRUE,H93,0)</f>
        <v>0</v>
      </c>
      <c r="AI93" s="832">
        <f>IF(U93=TRUE,H93,0)</f>
        <v>0</v>
      </c>
      <c r="AJ93" s="1490">
        <f t="shared" ref="AJ93:AJ94" si="106">IF(OR(I93=11,A93="F"),0,G93*I93)</f>
        <v>0</v>
      </c>
      <c r="AK93" s="1490">
        <f t="shared" ref="AK93:AK94" si="107">IF(OR(J93=11,A93="F"),0,G93*J93)</f>
        <v>0</v>
      </c>
      <c r="AL93" s="1490">
        <f t="shared" ref="AL93:AL94" si="108">IF(OR(P93=11,A93="F"),0,G93*P93)</f>
        <v>0</v>
      </c>
      <c r="AM93" s="1490">
        <f t="shared" ref="AM93:AM94" si="109">IF(OR(Q93=11,A93="F"),0,G93*Q93)</f>
        <v>0</v>
      </c>
      <c r="AN93" s="1490">
        <f t="shared" ref="AN93:AN94" si="110">IF(OR(S93=11,A93="F"),0,S93*G93)</f>
        <v>0</v>
      </c>
      <c r="AO93" s="1490">
        <f t="shared" ref="AO93:AO94" si="111">IF(OR(T93=11,A93="F"),0,T93*G93)</f>
        <v>0</v>
      </c>
      <c r="AY93" s="734"/>
      <c r="AZ93" s="734"/>
      <c r="BA93" s="87"/>
      <c r="BB93" s="442"/>
      <c r="BC93" s="89"/>
      <c r="BD93" s="446"/>
      <c r="BE93" s="446"/>
      <c r="BF93" s="89"/>
      <c r="BG93" s="447"/>
      <c r="BH93" s="447"/>
      <c r="BI93" s="443"/>
    </row>
    <row r="94" spans="1:78" ht="19" x14ac:dyDescent="0.2">
      <c r="B94" s="1700"/>
      <c r="C94" s="38"/>
      <c r="D94" s="25"/>
      <c r="E94" s="48"/>
      <c r="F94" s="27"/>
      <c r="G94" s="27"/>
      <c r="H94" s="27">
        <f>F94*G94</f>
        <v>0</v>
      </c>
      <c r="I94" s="1374">
        <v>11</v>
      </c>
      <c r="J94" s="1375">
        <v>11</v>
      </c>
      <c r="K94" s="31" t="b">
        <f>IF(AND(F94&gt;=I94,F94&lt;=J94),TRUE,FALSE)</f>
        <v>0</v>
      </c>
      <c r="L94" s="31"/>
      <c r="M94" s="31"/>
      <c r="N94" s="31"/>
      <c r="O94" s="1351"/>
      <c r="P94" s="1374">
        <v>11</v>
      </c>
      <c r="Q94" s="1375">
        <v>11</v>
      </c>
      <c r="R94" s="1351" t="b">
        <f>IF(AND(F94&gt;=P94,F94&lt;=Q94),TRUE,FALSE)</f>
        <v>0</v>
      </c>
      <c r="S94" s="1374">
        <v>11</v>
      </c>
      <c r="T94" s="1375">
        <v>11</v>
      </c>
      <c r="U94" s="1351" t="b">
        <f>IF(AND(F94&gt;=S94,F94&lt;=T94),TRUE,FALSE)</f>
        <v>0</v>
      </c>
      <c r="V94" s="807"/>
      <c r="W94" s="821"/>
      <c r="X94" s="822"/>
      <c r="Y94" s="821"/>
      <c r="Z94" s="822"/>
      <c r="AA94" s="821"/>
      <c r="AB94" s="822"/>
      <c r="AD94" s="10"/>
      <c r="AE94" s="10"/>
      <c r="AF94" s="10"/>
      <c r="AG94" s="832">
        <f>IF(K94=TRUE,H94,0)</f>
        <v>0</v>
      </c>
      <c r="AH94" s="832">
        <f>IF(R94=TRUE,H94,0)</f>
        <v>0</v>
      </c>
      <c r="AI94" s="832">
        <f>IF(U94=TRUE,H94,0)</f>
        <v>0</v>
      </c>
      <c r="AJ94" s="1490">
        <f t="shared" si="106"/>
        <v>0</v>
      </c>
      <c r="AK94" s="1490">
        <f t="shared" si="107"/>
        <v>0</v>
      </c>
      <c r="AL94" s="1490">
        <f t="shared" si="108"/>
        <v>0</v>
      </c>
      <c r="AM94" s="1490">
        <f t="shared" si="109"/>
        <v>0</v>
      </c>
      <c r="AN94" s="1490">
        <f t="shared" si="110"/>
        <v>0</v>
      </c>
      <c r="AO94" s="1490">
        <f t="shared" si="111"/>
        <v>0</v>
      </c>
      <c r="AV94" s="7"/>
      <c r="AX94" s="7"/>
      <c r="AY94" s="734"/>
      <c r="AZ94" s="734"/>
      <c r="BA94" s="87"/>
      <c r="BB94" s="442"/>
      <c r="BC94" s="89"/>
      <c r="BD94" s="446"/>
      <c r="BE94" s="446"/>
      <c r="BF94" s="89"/>
      <c r="BG94" s="447"/>
      <c r="BH94" s="447"/>
      <c r="BI94" s="443"/>
      <c r="BN94" s="25"/>
      <c r="BP94" s="7"/>
      <c r="BQ94" s="7"/>
      <c r="BR94" s="7"/>
      <c r="BS94" s="7"/>
      <c r="BT94" s="7"/>
      <c r="BU94" s="7"/>
      <c r="BV94" s="7"/>
      <c r="BW94" s="7"/>
      <c r="BX94" s="7"/>
      <c r="BY94" s="7"/>
      <c r="BZ94" s="7"/>
    </row>
    <row r="95" spans="1:78" ht="20" thickBot="1" x14ac:dyDescent="0.25">
      <c r="B95" s="1700"/>
      <c r="C95" s="716" t="s">
        <v>610</v>
      </c>
      <c r="D95" s="717">
        <f>_xlfn.XLOOKUP(H95,H93:H94,D93:D94)</f>
        <v>0</v>
      </c>
      <c r="E95" s="718">
        <f>_xlfn.XLOOKUP(H95,H93:H94,E93:E94)</f>
        <v>0</v>
      </c>
      <c r="F95" s="719"/>
      <c r="G95" s="719"/>
      <c r="H95" s="713">
        <f>IF(AND(K93=TRUE,K94=FALSE),H93,IF(AND(K93=FALSE,K94=TRUE),H94,MAX(H93,H94)))</f>
        <v>0</v>
      </c>
      <c r="I95" s="1353"/>
      <c r="J95" s="720"/>
      <c r="K95" s="721" t="b">
        <f>IF(AND(K93=FALSE,K94=FALSE),FALSE,TRUE)</f>
        <v>0</v>
      </c>
      <c r="L95" s="31"/>
      <c r="M95" s="31"/>
      <c r="N95" s="31"/>
      <c r="O95" s="1351"/>
      <c r="P95" s="1353"/>
      <c r="Q95" s="720"/>
      <c r="R95" s="1366" t="b">
        <f>IF(AND(R93=FALSE,R94=FALSE),FALSE,TRUE)</f>
        <v>0</v>
      </c>
      <c r="S95" s="1353"/>
      <c r="T95" s="720"/>
      <c r="U95" s="1366" t="b">
        <f>IF(AND(U93=FALSE,U94=FALSE),FALSE,TRUE)</f>
        <v>0</v>
      </c>
      <c r="V95" s="807"/>
      <c r="W95" s="821"/>
      <c r="X95" s="822"/>
      <c r="Y95" s="821"/>
      <c r="Z95" s="822"/>
      <c r="AA95" s="821"/>
      <c r="AB95" s="822"/>
      <c r="AD95" s="10"/>
      <c r="AE95" s="10"/>
      <c r="AF95" s="10"/>
      <c r="AG95" s="1740">
        <f>IF($K95=TRUE,MAX(AG93:AG94),0)</f>
        <v>0</v>
      </c>
      <c r="AH95" s="1740">
        <f>IF($R95=TRUE,MAX(AH93:AH94),0)</f>
        <v>0</v>
      </c>
      <c r="AI95" s="1740">
        <f>IF($U95=TRUE,MAX(AI93:AI94),0)</f>
        <v>0</v>
      </c>
      <c r="AJ95" s="1739">
        <f>MAX(AJ93:AJ94)</f>
        <v>0</v>
      </c>
      <c r="AK95" s="1739">
        <f t="shared" ref="AK95" si="112">MAX(AK93:AK94)</f>
        <v>0</v>
      </c>
      <c r="AL95" s="1739">
        <f t="shared" ref="AL95" si="113">MAX(AL93:AL94)</f>
        <v>0</v>
      </c>
      <c r="AM95" s="1739">
        <f t="shared" ref="AM95" si="114">MAX(AM93:AM94)</f>
        <v>0</v>
      </c>
      <c r="AN95" s="1739">
        <f t="shared" ref="AN95" si="115">MAX(AN93:AN94)</f>
        <v>0</v>
      </c>
      <c r="AO95" s="1739">
        <f t="shared" ref="AO95" si="116">MAX(AO93:AO94)</f>
        <v>0</v>
      </c>
      <c r="AV95" s="7"/>
      <c r="AX95" s="7"/>
      <c r="AY95" s="734"/>
      <c r="AZ95" s="734"/>
      <c r="BA95" s="87"/>
      <c r="BB95" s="442"/>
      <c r="BC95" s="89"/>
      <c r="BD95" s="446"/>
      <c r="BE95" s="446"/>
      <c r="BF95" s="89"/>
      <c r="BG95" s="447"/>
      <c r="BH95" s="447"/>
      <c r="BI95" s="443"/>
      <c r="BN95" s="25"/>
      <c r="BP95" s="7"/>
      <c r="BQ95" s="7"/>
      <c r="BR95" s="7"/>
      <c r="BS95" s="7"/>
      <c r="BT95" s="7"/>
      <c r="BU95" s="7"/>
      <c r="BV95" s="7"/>
      <c r="BW95" s="7"/>
      <c r="BX95" s="7"/>
      <c r="BY95" s="7"/>
      <c r="BZ95" s="7"/>
    </row>
    <row r="96" spans="1:78" ht="35" thickBot="1" x14ac:dyDescent="0.25">
      <c r="B96" s="1700"/>
      <c r="C96" s="722" t="s">
        <v>616</v>
      </c>
      <c r="D96" s="723"/>
      <c r="E96" s="723" t="str">
        <f>IF(H96=H92,E92,E95)</f>
        <v>laisse entendre que vous êtes instable psychologiquement</v>
      </c>
      <c r="F96" s="724"/>
      <c r="G96" s="724"/>
      <c r="H96" s="724">
        <f>IF(AND(K92=TRUE,K95=FALSE),H92,IF(AND(K92=FALSE,K95=TRUE),H95,IF(AND(K92=TRUE,K95=TRUE),H92+H95,MAX(H92,H95))))</f>
        <v>20</v>
      </c>
      <c r="I96" s="1354"/>
      <c r="J96" s="725"/>
      <c r="K96" s="726" t="b">
        <f>IF(AND(K92=FALSE,K95=FALSE),FALSE,TRUE)</f>
        <v>1</v>
      </c>
      <c r="L96" s="1338"/>
      <c r="M96" s="1338"/>
      <c r="N96" s="1338"/>
      <c r="O96" s="1355"/>
      <c r="P96" s="1354"/>
      <c r="Q96" s="725"/>
      <c r="R96" s="726" t="b">
        <f>IF(AND(R92=FALSE,R95=FALSE),FALSE,TRUE)</f>
        <v>0</v>
      </c>
      <c r="S96" s="1354"/>
      <c r="T96" s="725"/>
      <c r="U96" s="726" t="b">
        <f>IF(AND(U92=FALSE,U95=FALSE),FALSE,TRUE)</f>
        <v>0</v>
      </c>
      <c r="V96" s="807"/>
      <c r="W96" s="821" t="str">
        <f>IF(K96=TRUE,"V","F")</f>
        <v>V</v>
      </c>
      <c r="X96" s="822"/>
      <c r="Y96" s="821" t="str">
        <f>IF(R96=TRUE,"V","F")</f>
        <v>F</v>
      </c>
      <c r="Z96" s="822"/>
      <c r="AA96" s="821" t="str">
        <f>IF(U96=TRUE,"V","F")</f>
        <v>F</v>
      </c>
      <c r="AB96" s="822"/>
      <c r="AC96" t="str">
        <f>IF(OR(W96="V",Y96="V"),IF(H95&gt;H92,"Le NC contribue plus que le coparent","Le coparent joue un plus grand rôle que le NC"),"pas de contexte significatif de la part du coparent et NC")</f>
        <v>Le coparent joue un plus grand rôle que le NC</v>
      </c>
      <c r="AD96" s="10"/>
      <c r="AE96" s="10"/>
      <c r="AF96" s="10"/>
      <c r="AG96" s="591">
        <f>IF(AND($K92=TRUE,$K95=FALSE),AG92,IF(AND($K92=FALSE,$K95=TRUE),AG95,IF(AND($K92=TRUE,$K95=TRUE),AG92+AG95,0)))</f>
        <v>20</v>
      </c>
      <c r="AH96" s="591">
        <f>IF(AND($R92=TRUE,$R95=FALSE),AH92,IF(AND($R92=FALSE,$R95=TRUE),AH95,IF(AND($R92=TRUE,$R95=TRUE),AH92+AH95,0)))</f>
        <v>0</v>
      </c>
      <c r="AI96" s="591">
        <f>IF(AND($U92=TRUE,$U95=FALSE),AI92,IF(AND($U92=FALSE,$U95=TRUE),AI95,IF(AND($U92=TRUE,$U95=TRUE),AI92+AI95,0)))</f>
        <v>0</v>
      </c>
      <c r="AJ96" s="591">
        <f>IF(AND($K92=TRUE,$K95=FALSE),AJ92,IF(AND($K92=FALSE,$K95=TRUE),AJ95,IF(AND($K92=TRUE,$K95=TRUE),AJ92+AJ95,MAX(AJ92,AJ95))))</f>
        <v>8</v>
      </c>
      <c r="AK96" s="591">
        <f>IF(AND($K92=TRUE,$K95=FALSE),AK92,IF(AND($K92=FALSE,$K95=TRUE),AK95,IF(AND($K92=TRUE,$K95=TRUE),AK92+AK95,MAX(AK92,AK95))))</f>
        <v>20</v>
      </c>
      <c r="AL96" s="591">
        <f t="shared" ref="AL96" si="117">IF(AND($R92=TRUE,$R95=FALSE),AL92,IF(AND($R92=FALSE,$R95=TRUE),AL95,IF(AND($R92=TRUE,$R95=TRUE),AL92+AL95,MAX(AL92,AL95))))</f>
        <v>0</v>
      </c>
      <c r="AM96" s="591">
        <f t="shared" ref="AM96" si="118">IF(AND($R92=TRUE,$R95=FALSE),AM92,IF(AND($R92=FALSE,$R95=TRUE),AM95,IF(AND($R92=TRUE,$R95=TRUE),AM92+AM95,MAX(AM92,AM95))))</f>
        <v>0</v>
      </c>
      <c r="AN96" s="591">
        <f t="shared" ref="AN96" si="119">IF(AND($U92=TRUE,$U95=FALSE),AN92,IF(AND($U92=FALSE,$U95=TRUE),AN95,IF(AND($U92=TRUE,$U95=TRUE),AN92+AN95,MAX(AN92,AN95))))</f>
        <v>4</v>
      </c>
      <c r="AO96" s="591">
        <f t="shared" ref="AO96" si="120">IF(AND($U92=TRUE,$U95=FALSE),AO92,IF(AND($U92=FALSE,$U95=TRUE),AO95,IF(AND($U92=TRUE,$U95=TRUE),AO92+AO95,MAX(AO92,AO95))))</f>
        <v>14</v>
      </c>
      <c r="AV96" s="7"/>
      <c r="AX96" s="7"/>
      <c r="AY96" s="734"/>
      <c r="AZ96" s="734"/>
      <c r="BA96" s="87"/>
      <c r="BB96" s="442"/>
      <c r="BC96" s="89"/>
      <c r="BD96" s="446"/>
      <c r="BE96" s="446"/>
      <c r="BF96" s="89"/>
      <c r="BG96" s="447"/>
      <c r="BH96" s="447"/>
      <c r="BI96" s="443"/>
      <c r="BN96" s="25"/>
      <c r="BP96" s="7"/>
      <c r="BQ96" s="7"/>
      <c r="BR96" s="7"/>
      <c r="BS96" s="7"/>
      <c r="BT96" s="7"/>
      <c r="BU96" s="7"/>
      <c r="BV96" s="7"/>
      <c r="BW96" s="7"/>
      <c r="BX96" s="7"/>
      <c r="BY96" s="7"/>
      <c r="BZ96" s="7"/>
    </row>
    <row r="97" spans="1:61" ht="48" x14ac:dyDescent="0.2">
      <c r="A97" t="str">
        <f>IF(Test_Bible!B279="","F","O")</f>
        <v>F</v>
      </c>
      <c r="B97" s="1700" t="str">
        <f>'Cpts AR +indép + Sommaire'!S14</f>
        <v>Altération ou dévoiement de la réalité</v>
      </c>
      <c r="C97" s="287" t="str">
        <f>'Cpts AR +indép + Sommaire'!O14</f>
        <v>E06a</v>
      </c>
      <c r="D97" s="25" t="str">
        <f>'Cpts AR +indép + Sommaire'!P14</f>
        <v>Votre enfant croit que vous souffrez d’une maladie mentale ou que vous êtes instable psychologiquement.</v>
      </c>
      <c r="E97" s="78" t="s">
        <v>346</v>
      </c>
      <c r="F97" s="709">
        <f>'Cpts AR +indép + Sommaire'!Q14</f>
        <v>0</v>
      </c>
      <c r="G97" s="709">
        <f>'Cpts AR +indép + Sommaire'!R14</f>
        <v>3</v>
      </c>
      <c r="H97" s="709">
        <f>F97*G97</f>
        <v>0</v>
      </c>
      <c r="I97" s="1350">
        <v>4</v>
      </c>
      <c r="J97" s="1343">
        <v>10</v>
      </c>
      <c r="K97" s="31" t="b">
        <f>IF(AND(F97&gt;=I97,F97&lt;=J97),TRUE,FALSE)</f>
        <v>0</v>
      </c>
      <c r="L97" s="31"/>
      <c r="M97" s="31"/>
      <c r="N97" s="31"/>
      <c r="O97" s="1351"/>
      <c r="P97" s="1374">
        <v>11</v>
      </c>
      <c r="Q97" s="1375">
        <v>11</v>
      </c>
      <c r="R97" s="1351" t="b">
        <f>IF(AND(F97&gt;=P97,F97&lt;=Q97),TRUE,FALSE)</f>
        <v>0</v>
      </c>
      <c r="S97" s="1350"/>
      <c r="T97" s="1343"/>
      <c r="U97" s="1351"/>
      <c r="V97" s="807"/>
      <c r="W97" s="821" t="s">
        <v>753</v>
      </c>
      <c r="X97" s="822"/>
      <c r="Y97" s="821"/>
      <c r="Z97" s="822"/>
      <c r="AA97" s="821"/>
      <c r="AB97" s="822"/>
      <c r="AD97" s="10"/>
      <c r="AE97" s="10"/>
      <c r="AF97" s="10"/>
      <c r="AG97" s="832">
        <f>IF($K97=TRUE,H97,0)</f>
        <v>0</v>
      </c>
      <c r="AH97" s="832">
        <f>IF($R97=TRUE,H97,0)</f>
        <v>0</v>
      </c>
      <c r="AI97" s="832"/>
      <c r="AJ97" s="1490">
        <f t="shared" ref="AJ97:AJ98" si="121">IF(OR(I97=11,A97="F"),0,G97*I97)</f>
        <v>0</v>
      </c>
      <c r="AK97" s="1490">
        <f t="shared" ref="AK97:AK98" si="122">IF(OR(J97=11,A97="F"),0,G97*J97)</f>
        <v>0</v>
      </c>
      <c r="AL97" s="1490">
        <f t="shared" ref="AL97:AL98" si="123">IF(OR(P97=11,A97="F"),0,G97*P97)</f>
        <v>0</v>
      </c>
      <c r="AM97" s="1490">
        <f t="shared" ref="AM97:AM98" si="124">IF(OR(Q97=11,A97="F"),0,G97*Q97)</f>
        <v>0</v>
      </c>
      <c r="AN97" s="1490">
        <f t="shared" ref="AN97:AN98" si="125">IF(OR(S97=11,A97="F"),0,S97*G97)</f>
        <v>0</v>
      </c>
      <c r="AO97" s="1490">
        <f t="shared" ref="AO97:AO98" si="126">IF(OR(T97=11,A97="F"),0,T97*G97)</f>
        <v>0</v>
      </c>
      <c r="AY97" s="734"/>
      <c r="AZ97" s="734"/>
      <c r="BA97" s="87"/>
      <c r="BB97" s="442"/>
      <c r="BC97" s="89"/>
      <c r="BD97" s="446"/>
      <c r="BE97" s="446"/>
      <c r="BF97" s="89"/>
      <c r="BG97" s="447"/>
      <c r="BH97" s="447"/>
      <c r="BI97" s="443"/>
    </row>
    <row r="98" spans="1:61" ht="20" thickBot="1" x14ac:dyDescent="0.25">
      <c r="B98" s="1700"/>
      <c r="C98" s="287"/>
      <c r="D98" s="25"/>
      <c r="E98" s="78"/>
      <c r="F98" s="709"/>
      <c r="G98" s="708"/>
      <c r="H98" s="709">
        <f>F98*G98</f>
        <v>0</v>
      </c>
      <c r="I98" s="1374">
        <v>11</v>
      </c>
      <c r="J98" s="1375">
        <v>11</v>
      </c>
      <c r="K98" s="31" t="b">
        <f>IF(AND(F98&gt;=I98,F98&lt;=J98),TRUE,FALSE)</f>
        <v>0</v>
      </c>
      <c r="L98" s="31"/>
      <c r="M98" s="31"/>
      <c r="N98" s="31"/>
      <c r="O98" s="1351"/>
      <c r="P98" s="1374">
        <v>11</v>
      </c>
      <c r="Q98" s="1375">
        <v>11</v>
      </c>
      <c r="R98" s="1351" t="b">
        <f>IF(AND(F98&gt;=P98,F98&lt;=Q98),TRUE,FALSE)</f>
        <v>0</v>
      </c>
      <c r="S98" s="1374"/>
      <c r="T98" s="1375"/>
      <c r="U98" s="1351"/>
      <c r="V98" s="807"/>
      <c r="W98" s="821"/>
      <c r="X98" s="822"/>
      <c r="Y98" s="821"/>
      <c r="Z98" s="822"/>
      <c r="AA98" s="821"/>
      <c r="AB98" s="822"/>
      <c r="AD98" s="10"/>
      <c r="AE98" s="10"/>
      <c r="AF98" s="10"/>
      <c r="AG98" s="832">
        <f>IF($K98=TRUE,H98,0)</f>
        <v>0</v>
      </c>
      <c r="AH98" s="832">
        <f>IF($R98=TRUE,H98,0)</f>
        <v>0</v>
      </c>
      <c r="AI98" s="832"/>
      <c r="AJ98" s="1490">
        <f t="shared" si="121"/>
        <v>0</v>
      </c>
      <c r="AK98" s="1490">
        <f t="shared" si="122"/>
        <v>0</v>
      </c>
      <c r="AL98" s="1490">
        <f t="shared" si="123"/>
        <v>0</v>
      </c>
      <c r="AM98" s="1490">
        <f t="shared" si="124"/>
        <v>0</v>
      </c>
      <c r="AN98" s="1490">
        <f t="shared" si="125"/>
        <v>0</v>
      </c>
      <c r="AO98" s="1490">
        <f t="shared" si="126"/>
        <v>0</v>
      </c>
      <c r="AY98" s="734"/>
      <c r="AZ98" s="734"/>
      <c r="BA98" s="87"/>
      <c r="BB98" s="442"/>
      <c r="BC98" s="89"/>
      <c r="BD98" s="446"/>
      <c r="BE98" s="446"/>
      <c r="BF98" s="89"/>
      <c r="BG98" s="447"/>
      <c r="BH98" s="447"/>
      <c r="BI98" s="443"/>
    </row>
    <row r="99" spans="1:61" ht="35" thickBot="1" x14ac:dyDescent="0.25">
      <c r="B99" s="1700"/>
      <c r="C99" s="727" t="s">
        <v>611</v>
      </c>
      <c r="D99" s="728" t="str">
        <f>_xlfn.XLOOKUP(H99,H97:H98,D97:D98)</f>
        <v>Votre enfant croit que vous souffrez d’une maladie mentale ou que vous êtes instable psychologiquement.</v>
      </c>
      <c r="E99" s="728" t="str">
        <f>_xlfn.XLOOKUP(H99,H97:H98,E97:E98)</f>
        <v>croit que vous êtes instable psychologiquement</v>
      </c>
      <c r="F99" s="729"/>
      <c r="G99" s="729"/>
      <c r="H99" s="729">
        <f>IF(AND(K97=TRUE,K98=FALSE),H97,IF(AND(K97=FALSE,K98=TRUE),H98,MAX(H97,H98)))</f>
        <v>0</v>
      </c>
      <c r="I99" s="1356"/>
      <c r="J99" s="730"/>
      <c r="K99" s="731" t="b">
        <f>IF(AND(K97=FALSE,K98=FALSE),FALSE,TRUE)</f>
        <v>0</v>
      </c>
      <c r="L99" s="1339"/>
      <c r="M99" s="1339"/>
      <c r="N99" s="1339"/>
      <c r="O99" s="1357"/>
      <c r="P99" s="1356"/>
      <c r="Q99" s="730"/>
      <c r="R99" s="731" t="b">
        <f>IF(AND(R97=FALSE,R98=FALSE),FALSE,TRUE)</f>
        <v>0</v>
      </c>
      <c r="S99" s="1356"/>
      <c r="T99" s="730"/>
      <c r="U99" s="731"/>
      <c r="V99" s="807"/>
      <c r="W99" s="821" t="str">
        <f>IF(K99=TRUE,"V","F")</f>
        <v>F</v>
      </c>
      <c r="X99" s="822"/>
      <c r="Y99" s="821" t="str">
        <f>IF(R99=TRUE,"V","F")</f>
        <v>F</v>
      </c>
      <c r="Z99" s="822"/>
      <c r="AA99" s="821"/>
      <c r="AB99" s="822"/>
      <c r="AD99" s="10"/>
      <c r="AE99" s="10"/>
      <c r="AF99" s="10"/>
      <c r="AG99" s="1742">
        <f>IF(AND($K97=TRUE,$K98=FALSE),AG97,IF(AND($K97=FALSE,$K98=TRUE),AG98,IF(AND($K97=TRUE,$K98=TRUE),MAX(AG97,AG98),0)))</f>
        <v>0</v>
      </c>
      <c r="AH99" s="1742">
        <f>IF(AND($R97=TRUE,$R98=FALSE),AH97,IF(AND($R97=FALSE,$R98=TRUE),AH98,IF(AND($R97=TRUE,$R98=TRUE),MAX(AH97,AH98),0)))</f>
        <v>0</v>
      </c>
      <c r="AI99" s="1742"/>
      <c r="AJ99" s="1742">
        <f>IF(AND($K97=TRUE,$K98=FALSE),AJ97,IF(AND($K97=FALSE,$K98=TRUE),AJ98,IF(AND($K97=TRUE,$K98=TRUE),MAX(AJ97,AJ98),0)))</f>
        <v>0</v>
      </c>
      <c r="AK99" s="1742">
        <f>IF(AND($K97=TRUE,$K98=FALSE),AK97,IF(AND($K97=FALSE,$K98=TRUE),AK98,IF(AND($K97=TRUE,$K98=TRUE),MAX(AK97,AK98),0)))</f>
        <v>0</v>
      </c>
      <c r="AL99" s="1742">
        <f t="shared" ref="AL99" si="127">IF(AND($R97=TRUE,$R98=FALSE),AL97,IF(AND($R97=FALSE,$R98=TRUE),AL98,IF(AND($R97=TRUE,$R98=TRUE),MAX(AL97,AL98),0)))</f>
        <v>0</v>
      </c>
      <c r="AM99" s="1742">
        <f t="shared" ref="AM99" si="128">IF(AND($R97=TRUE,$R98=FALSE),AM97,IF(AND($R97=FALSE,$R98=TRUE),AM98,IF(AND($R97=TRUE,$R98=TRUE),MAX(AM97,AM98),0)))</f>
        <v>0</v>
      </c>
      <c r="AN99" s="1742"/>
      <c r="AO99" s="1742"/>
      <c r="AY99" s="734"/>
      <c r="AZ99" s="734"/>
      <c r="BA99" s="87"/>
      <c r="BB99" s="442"/>
      <c r="BC99" s="89"/>
      <c r="BD99" s="446"/>
      <c r="BE99" s="446"/>
      <c r="BF99" s="89"/>
      <c r="BG99" s="447"/>
      <c r="BH99" s="447"/>
      <c r="BI99" s="443"/>
    </row>
    <row r="100" spans="1:61" ht="68" x14ac:dyDescent="0.2">
      <c r="B100" s="1700"/>
      <c r="D100" s="386" t="s">
        <v>273</v>
      </c>
      <c r="E100" s="705"/>
      <c r="F100" s="439" t="s">
        <v>349</v>
      </c>
      <c r="G100" s="33"/>
      <c r="H100" s="33">
        <f>IF(AND(K96=TRUE,K99=FALSE),H96,IF(AND(K96=FALSE,K99=TRUE),H99,IF(AND(K96=TRUE,K99=TRUE),H96+H99,MAX(H96,H99))))</f>
        <v>20</v>
      </c>
      <c r="I100" s="1358"/>
      <c r="J100" s="440"/>
      <c r="K100" s="1341"/>
      <c r="L100" s="1342" t="str">
        <f>IF(AND(K99=TRUE,K96=TRUE),E99,"")</f>
        <v/>
      </c>
      <c r="M100" s="1342" t="str">
        <f>IF(AND(K96=TRUE,K99=FALSE),"Bien que le parent "&amp;E96&amp;" l'enfant ne semble pas s'ingérer","")</f>
        <v>Bien que le parent laisse entendre que vous êtes instable psychologiquement l'enfant ne semble pas s'ingérer</v>
      </c>
      <c r="N100" s="1342" t="str">
        <f>IF(AND(K96=FALSE,K99=TRUE),E99&amp;" sans signe de la participation du parent favorisé et|ou nouveau conjoint.e","")</f>
        <v/>
      </c>
      <c r="O100" s="1359" t="str">
        <f>IF(AND(K96=FALSE,K99=FALSE),"aucun comportement significatif de cette nature","")</f>
        <v/>
      </c>
      <c r="P100" s="1358"/>
      <c r="Q100" s="440"/>
      <c r="R100" s="1367"/>
      <c r="S100" s="1358"/>
      <c r="T100" s="440"/>
      <c r="U100" s="1367"/>
      <c r="V100" s="145"/>
      <c r="W100" s="823"/>
      <c r="X100" s="824">
        <f>IF(AND(W96="V",W99="V"),2,IF(OR(W96="V",W99="V"),1,0))</f>
        <v>1</v>
      </c>
      <c r="Y100" s="823"/>
      <c r="Z100" s="824">
        <f>IF(OR(Y96="V",Y99="V"),1,0)</f>
        <v>0</v>
      </c>
      <c r="AA100" s="823"/>
      <c r="AB100" s="824"/>
      <c r="AD100" s="10"/>
      <c r="AE100" s="10"/>
      <c r="AF100" s="10"/>
      <c r="AG100" s="1738">
        <f>IF(AND($W96="V",$W99="F"),AG96,IF(AND($W96="F",$W99="V"),AG99,IF(AND($W96="V",$W99="V"),AG96+AG99,0)))</f>
        <v>20</v>
      </c>
      <c r="AH100" s="1738">
        <f>IF(AND($Y96="V",$Y99="F"),AH96,IF(AND($Y96="F",$Y99="V"),AH99,IF(AND($Y96="V",$Y99="V"),AH96+AH99,0)))</f>
        <v>0</v>
      </c>
      <c r="AI100" s="1738"/>
      <c r="AJ100" s="1738">
        <f>IF(AND($W96="V",$W99="F"),AJ96,IF(AND($W96="F",$W99="V"),AJ99,IF(AND($W96="V",$W99="V"),AJ96+AJ99,0)))</f>
        <v>8</v>
      </c>
      <c r="AK100" s="1738">
        <f>IF(AND($W96="V",$W99="F"),AK96,IF(AND($W96="F",$W99="V"),AK99,IF(AND($W96="V",$W99="V"),AK96+AK99,0)))</f>
        <v>20</v>
      </c>
      <c r="AL100" s="1738">
        <f>IF(AND($Y96="V",$Y99="F"),AL96,IF(AND($Y96="F",$Y99="V"),AL99,IF(AND($Y96="V",$Y99="V"),AL96+AL99,0)))</f>
        <v>0</v>
      </c>
      <c r="AM100" s="1738">
        <f>IF(AND($Y96="V",$Y99="F"),AM96,IF(AND($Y96="F",$Y99="V"),AM99,IF(AND($Y96="V",$Y99="V"),AM96+AM99,0)))</f>
        <v>0</v>
      </c>
      <c r="AN100" s="1738"/>
      <c r="AO100" s="1738"/>
      <c r="AY100" s="734"/>
      <c r="AZ100" s="734"/>
      <c r="BA100" s="87"/>
      <c r="BB100" s="442"/>
      <c r="BC100" s="89"/>
      <c r="BD100" s="446"/>
      <c r="BE100" s="446"/>
      <c r="BF100" s="89"/>
      <c r="BG100" s="447"/>
      <c r="BH100" s="447"/>
      <c r="BI100" s="443"/>
    </row>
    <row r="101" spans="1:61" ht="19" x14ac:dyDescent="0.2">
      <c r="B101" s="1700"/>
      <c r="C101" t="s">
        <v>238</v>
      </c>
      <c r="I101" s="122"/>
      <c r="L101" s="32"/>
      <c r="M101" s="32"/>
      <c r="N101" s="32"/>
      <c r="O101" s="1379"/>
      <c r="P101" s="122"/>
      <c r="R101" s="292"/>
      <c r="S101" s="122"/>
      <c r="U101" s="292"/>
      <c r="V101" s="32"/>
      <c r="W101" s="821"/>
      <c r="X101" s="822"/>
      <c r="Y101" s="821"/>
      <c r="Z101" s="822"/>
      <c r="AA101" s="821"/>
      <c r="AB101" s="822"/>
      <c r="AD101" s="10"/>
      <c r="AE101" s="10"/>
      <c r="AF101" s="10"/>
      <c r="AG101" s="832"/>
      <c r="AH101" s="832"/>
      <c r="AI101" s="832"/>
      <c r="AJ101" s="1490"/>
      <c r="AK101" s="1490"/>
      <c r="AL101" s="1490"/>
      <c r="AM101" s="1490"/>
      <c r="AN101" s="1490"/>
      <c r="AO101" s="1490"/>
      <c r="AY101" s="734"/>
      <c r="AZ101" s="734"/>
      <c r="BA101" s="87"/>
      <c r="BB101" s="442"/>
      <c r="BC101" s="89"/>
      <c r="BD101" s="446"/>
      <c r="BE101" s="446"/>
      <c r="BF101" s="89"/>
      <c r="BG101" s="447"/>
      <c r="BH101" s="447"/>
      <c r="BI101" s="443"/>
    </row>
    <row r="102" spans="1:61" ht="19" x14ac:dyDescent="0.2">
      <c r="B102" s="1700"/>
      <c r="C102" s="825"/>
      <c r="D102" s="829"/>
      <c r="E102" s="826"/>
      <c r="F102" s="830"/>
      <c r="G102" s="830"/>
      <c r="H102" s="830">
        <f>F102*G102</f>
        <v>0</v>
      </c>
      <c r="I102" s="1374">
        <v>11</v>
      </c>
      <c r="J102" s="1375">
        <v>11</v>
      </c>
      <c r="K102" s="31" t="b">
        <f>IF(AND(F102&gt;=I102,F102&lt;=J102),TRUE,FALSE)</f>
        <v>0</v>
      </c>
      <c r="L102" s="26"/>
      <c r="M102" s="26"/>
      <c r="N102" s="26"/>
      <c r="O102" s="1360"/>
      <c r="P102" s="1374">
        <v>11</v>
      </c>
      <c r="Q102" s="1375">
        <v>11</v>
      </c>
      <c r="R102" s="1351" t="b">
        <f>IF(AND(F102&gt;=P102,F102&lt;=Q102),TRUE,FALSE)</f>
        <v>0</v>
      </c>
      <c r="S102" s="1374">
        <v>11</v>
      </c>
      <c r="T102" s="1375">
        <v>11</v>
      </c>
      <c r="U102" s="1351" t="b">
        <f>IF(AND(F102&gt;=S102,F102&lt;=T102),TRUE,FALSE)</f>
        <v>0</v>
      </c>
      <c r="V102" s="32"/>
      <c r="W102" s="821"/>
      <c r="X102" s="822"/>
      <c r="Y102" s="821"/>
      <c r="Z102" s="822"/>
      <c r="AA102" s="821"/>
      <c r="AB102" s="822"/>
      <c r="AD102" s="10"/>
      <c r="AE102" s="10"/>
      <c r="AF102" s="10"/>
      <c r="AG102" s="832">
        <f>IF($K102=TRUE,H102,0)</f>
        <v>0</v>
      </c>
      <c r="AH102" s="832">
        <f>IF($R102=TRUE,H102,0)</f>
        <v>0</v>
      </c>
      <c r="AI102" s="832">
        <f>IF($U102=TRUE,H102,0)</f>
        <v>0</v>
      </c>
      <c r="AJ102" s="1490">
        <f t="shared" ref="AJ102:AJ103" si="129">IF(OR(I102=11,A102="F"),0,G102*I102)</f>
        <v>0</v>
      </c>
      <c r="AK102" s="1490">
        <f t="shared" ref="AK102:AK103" si="130">IF(OR(J102=11,A102="F"),0,G102*J102)</f>
        <v>0</v>
      </c>
      <c r="AL102" s="1490">
        <f t="shared" ref="AL102:AL103" si="131">IF(OR(P102=11,A102="F"),0,G102*P102)</f>
        <v>0</v>
      </c>
      <c r="AM102" s="1490">
        <f t="shared" ref="AM102:AM103" si="132">IF(OR(Q102=11,A102="F"),0,G102*Q102)</f>
        <v>0</v>
      </c>
      <c r="AN102" s="1490">
        <f t="shared" ref="AN102:AN103" si="133">IF(OR(S102=11,A102="F"),0,S102*G102)</f>
        <v>0</v>
      </c>
      <c r="AO102" s="1490">
        <f t="shared" ref="AO102:AO103" si="134">IF(OR(T102=11,A102="F"),0,T102*G102)</f>
        <v>0</v>
      </c>
      <c r="AY102" s="734"/>
      <c r="AZ102" s="734"/>
      <c r="BA102" s="87"/>
      <c r="BB102" s="442"/>
      <c r="BC102" s="89"/>
      <c r="BD102" s="446"/>
      <c r="BE102" s="446"/>
      <c r="BF102" s="89"/>
      <c r="BG102" s="447"/>
      <c r="BH102" s="447"/>
      <c r="BI102" s="443"/>
    </row>
    <row r="103" spans="1:61" ht="20" thickBot="1" x14ac:dyDescent="0.25">
      <c r="B103" s="1700"/>
      <c r="C103" s="825"/>
      <c r="D103" s="829"/>
      <c r="E103" s="826"/>
      <c r="F103" s="830"/>
      <c r="G103" s="830"/>
      <c r="H103" s="830">
        <f>F103*G103</f>
        <v>0</v>
      </c>
      <c r="I103" s="1374">
        <v>11</v>
      </c>
      <c r="J103" s="1375">
        <v>11</v>
      </c>
      <c r="K103" s="31" t="b">
        <f>IF(AND(F103&gt;=I103,F103&lt;=J103),TRUE,FALSE)</f>
        <v>0</v>
      </c>
      <c r="L103" s="26"/>
      <c r="M103" s="26"/>
      <c r="N103" s="26"/>
      <c r="O103" s="1360"/>
      <c r="P103" s="1374">
        <v>11</v>
      </c>
      <c r="Q103" s="1375">
        <v>11</v>
      </c>
      <c r="R103" s="1351" t="b">
        <f>IF(AND(F103&gt;=P103,F103&lt;=Q103),TRUE,FALSE)</f>
        <v>0</v>
      </c>
      <c r="S103" s="1374">
        <v>11</v>
      </c>
      <c r="T103" s="1375">
        <v>11</v>
      </c>
      <c r="U103" s="1351" t="b">
        <f>IF(AND(F103&gt;=S103,F103&lt;=T103),TRUE,FALSE)</f>
        <v>0</v>
      </c>
      <c r="W103" s="821"/>
      <c r="X103" s="822"/>
      <c r="Y103" s="821"/>
      <c r="Z103" s="822"/>
      <c r="AA103" s="821"/>
      <c r="AB103" s="822"/>
      <c r="AD103" s="10"/>
      <c r="AE103" s="10"/>
      <c r="AF103" s="10"/>
      <c r="AG103" s="832">
        <f>IF($K103=TRUE,H103,0)</f>
        <v>0</v>
      </c>
      <c r="AH103" s="832">
        <f>IF($R103=TRUE,H103,0)</f>
        <v>0</v>
      </c>
      <c r="AI103" s="832">
        <f>IF($U103=TRUE,H103,0)</f>
        <v>0</v>
      </c>
      <c r="AJ103" s="1490">
        <f t="shared" si="129"/>
        <v>0</v>
      </c>
      <c r="AK103" s="1490">
        <f t="shared" si="130"/>
        <v>0</v>
      </c>
      <c r="AL103" s="1490">
        <f t="shared" si="131"/>
        <v>0</v>
      </c>
      <c r="AM103" s="1490">
        <f t="shared" si="132"/>
        <v>0</v>
      </c>
      <c r="AN103" s="1490">
        <f t="shared" si="133"/>
        <v>0</v>
      </c>
      <c r="AO103" s="1490">
        <f t="shared" si="134"/>
        <v>0</v>
      </c>
      <c r="AY103" s="734"/>
      <c r="AZ103" s="734"/>
      <c r="BA103" s="87"/>
      <c r="BB103" s="442"/>
      <c r="BC103" s="89"/>
      <c r="BD103" s="446"/>
      <c r="BE103" s="446"/>
      <c r="BF103" s="89"/>
      <c r="BG103" s="447"/>
      <c r="BH103" s="447"/>
      <c r="BI103" s="443"/>
    </row>
    <row r="104" spans="1:61" ht="27" thickBot="1" x14ac:dyDescent="0.35">
      <c r="E104" s="732"/>
      <c r="F104" s="73"/>
      <c r="G104" s="73"/>
      <c r="H104" s="33">
        <f>IF(AND(K102=TRUE,K103=FALSE),H102,IF(AND(K102=FALSE,K103=TRUE),H103,MAX(H102,H103)))</f>
        <v>0</v>
      </c>
      <c r="I104" s="1371"/>
      <c r="J104" s="1372"/>
      <c r="K104" s="1378" t="b">
        <f>IF(AND(K102=FALSE,K103=FALSE),FALSE,TRUE)</f>
        <v>0</v>
      </c>
      <c r="L104" s="1361"/>
      <c r="M104" s="1362"/>
      <c r="N104" s="1362"/>
      <c r="O104" s="1363"/>
      <c r="P104" s="1371"/>
      <c r="Q104" s="1372"/>
      <c r="R104" s="1378" t="b">
        <f>IF(AND(R102=FALSE,R103=FALSE),FALSE,TRUE)</f>
        <v>0</v>
      </c>
      <c r="S104" s="1383"/>
      <c r="T104" s="1384"/>
      <c r="U104" s="1385" t="b">
        <f>IF(AND(U102=FALSE,U103=FALSE),FALSE,TRUE)</f>
        <v>0</v>
      </c>
      <c r="V104" s="73"/>
      <c r="W104" s="1315" t="str">
        <f>IF(K104=TRUE,"V","F")</f>
        <v>F</v>
      </c>
      <c r="X104" s="1316"/>
      <c r="Y104" s="1315" t="str">
        <f>IF(R104=TRUE,"V","F")</f>
        <v>F</v>
      </c>
      <c r="Z104" s="1316"/>
      <c r="AA104" s="1315" t="str">
        <f>IF(U104=TRUE,"V","F")</f>
        <v>F</v>
      </c>
      <c r="AB104" s="1316"/>
      <c r="AD104" s="10"/>
      <c r="AE104" s="10"/>
      <c r="AF104" s="10"/>
      <c r="AG104" s="1742">
        <f>IF(AND($K102=TRUE,$K103=FALSE),AG102,IF(AND($K102=FALSE,$K103=TRUE),AG103,MAX(AG102,AG103)))</f>
        <v>0</v>
      </c>
      <c r="AH104" s="1742">
        <f>IF(AND($R102=TRUE,$R103=FALSE),AH102,IF(AND($R102=FALSE,$R103=TRUE),AH103,MAX(AH102,AH103)))</f>
        <v>0</v>
      </c>
      <c r="AI104" s="1742">
        <f>IF(AND($U102=TRUE,$U103=FALSE),AI102,IF(AND($U102=FALSE,$U103=TRUE),AI103,MAX(AI102,AI103)))</f>
        <v>0</v>
      </c>
      <c r="AJ104" s="1742">
        <f>IF(AND($K102=TRUE,$K103=FALSE),AJ102,IF(AND($K102=FALSE,$K103=TRUE),AJ103,MAX(AJ102,AJ103)))</f>
        <v>0</v>
      </c>
      <c r="AK104" s="1742">
        <f>IF(AND($K102=TRUE,$K103=FALSE),AK102,IF(AND($K102=FALSE,$K103=TRUE),AK103,MAX(AK102,AK103)))</f>
        <v>0</v>
      </c>
      <c r="AL104" s="1742">
        <f>IF(AND($R102=TRUE,$R103=FALSE),AL102,IF(AND($R102=FALSE,$R103=TRUE),AL103,MAX(AL102,AL103)))</f>
        <v>0</v>
      </c>
      <c r="AM104" s="1742">
        <f>IF(AND($R102=TRUE,$R103=FALSE),AM102,IF(AND($R102=FALSE,$R103=TRUE),AM103,MAX(AM102,AM103)))</f>
        <v>0</v>
      </c>
      <c r="AN104" s="1742">
        <f>IF(AND($U102=TRUE,$U103=FALSE),AN102,IF(AND($U102=FALSE,$U103=TRUE),AN103,MAX(AN102,AN103)))</f>
        <v>0</v>
      </c>
      <c r="AO104" s="1742">
        <f>IF(AND($U102=TRUE,$U103=FALSE),AO102,IF(AND($U102=FALSE,$U103=TRUE),AO103,MAX(AO102,AO103)))</f>
        <v>0</v>
      </c>
      <c r="AY104" s="734"/>
      <c r="AZ104" s="734"/>
      <c r="BA104" s="87"/>
      <c r="BB104" s="442"/>
      <c r="BC104" s="89"/>
      <c r="BD104" s="446"/>
      <c r="BE104" s="446"/>
      <c r="BF104" s="89"/>
      <c r="BG104" s="447"/>
      <c r="BH104" s="447"/>
      <c r="BI104" s="443"/>
    </row>
    <row r="105" spans="1:61" ht="27" thickBot="1" x14ac:dyDescent="0.35">
      <c r="E105" s="732"/>
      <c r="F105" s="73"/>
      <c r="G105" s="73"/>
      <c r="H105" s="73"/>
      <c r="I105" s="73"/>
      <c r="J105" s="73"/>
      <c r="K105" s="73"/>
      <c r="L105" s="733"/>
      <c r="M105" s="733"/>
      <c r="N105" s="733"/>
      <c r="O105" s="73"/>
      <c r="P105" s="73"/>
      <c r="Q105" s="73"/>
      <c r="R105" s="73"/>
      <c r="S105" s="73"/>
      <c r="T105" s="73"/>
      <c r="U105" s="73"/>
      <c r="V105" s="73"/>
      <c r="W105" s="1376"/>
      <c r="X105" s="1377">
        <f>IF(AND(W104="V",W96="V"),X100-1,X100)</f>
        <v>1</v>
      </c>
      <c r="Y105" s="1376"/>
      <c r="Z105" s="1377">
        <f>IF(OR(Y96="V",Y99="V",Y104="V"),1,0)</f>
        <v>0</v>
      </c>
      <c r="AA105" s="1376"/>
      <c r="AB105" s="1377">
        <f>IF(AA96="V",1,IF(AA104="V",1,0))</f>
        <v>0</v>
      </c>
      <c r="AD105" s="10">
        <f>X105</f>
        <v>1</v>
      </c>
      <c r="AE105" s="10">
        <f>Z105</f>
        <v>0</v>
      </c>
      <c r="AF105" s="10">
        <f>AB105</f>
        <v>0</v>
      </c>
      <c r="AG105" s="1741">
        <f>IF($W104="F",AG100,AG100+AG104)</f>
        <v>20</v>
      </c>
      <c r="AH105" s="1741">
        <f>IF($Y104="F",AH100,AH100+AH104)</f>
        <v>0</v>
      </c>
      <c r="AI105" s="1741">
        <f>IF(AND($AA96="V",$AA104="F"),AI96,IF(AND($AA96="F",$AA104="V"),AI104,IF(AND($AA96="V",$AA104="V"),AI96+AI104,0)))</f>
        <v>0</v>
      </c>
      <c r="AJ105" s="1741">
        <f>IF($W104="F",AJ100,AJ100+AJ104)</f>
        <v>8</v>
      </c>
      <c r="AK105" s="1741">
        <f t="shared" ref="AK105" si="135">IF($W104="F",AK100,AK100+AK104)</f>
        <v>20</v>
      </c>
      <c r="AL105" s="1741">
        <f t="shared" ref="AL105" si="136">IF($Y104="F",AL100,AL100+AL104)</f>
        <v>0</v>
      </c>
      <c r="AM105" s="1741">
        <f t="shared" ref="AM105" si="137">IF($Y104="F",AM100,AM100+AM104)</f>
        <v>0</v>
      </c>
      <c r="AN105" s="1741">
        <f t="shared" ref="AN105" si="138">IF(AND($AA96="V",$AA104="F"),AN96,IF(AND($AA96="F",$AA104="V"),AN104,IF(AND($AA96="V",$AA104="V"),AN96+AN104,0)))</f>
        <v>0</v>
      </c>
      <c r="AO105" s="1741">
        <f t="shared" ref="AO105" si="139">IF(AND($AA96="V",$AA104="F"),AO96,IF(AND($AA96="F",$AA104="V"),AO104,IF(AND($AA96="V",$AA104="V"),AO96+AO104,0)))</f>
        <v>0</v>
      </c>
      <c r="AY105" s="734"/>
      <c r="AZ105" s="734"/>
      <c r="BA105" s="87"/>
      <c r="BB105" s="442"/>
      <c r="BC105" s="89"/>
      <c r="BD105" s="446"/>
      <c r="BE105" s="446"/>
      <c r="BF105" s="89"/>
      <c r="BG105" s="447"/>
      <c r="BH105" s="447"/>
      <c r="BI105" s="443"/>
    </row>
    <row r="106" spans="1:61" x14ac:dyDescent="0.3">
      <c r="E106" s="732"/>
      <c r="F106" s="73"/>
      <c r="G106" s="73"/>
      <c r="H106" s="73"/>
      <c r="I106" s="2609" t="s">
        <v>1090</v>
      </c>
      <c r="J106" s="2610"/>
      <c r="K106" s="2611"/>
      <c r="L106" s="2603"/>
      <c r="M106" s="2603"/>
      <c r="N106" s="2603"/>
      <c r="O106" s="1347"/>
      <c r="P106" s="2606" t="s">
        <v>1089</v>
      </c>
      <c r="Q106" s="2607"/>
      <c r="R106" s="2608"/>
      <c r="S106" s="1394" t="s">
        <v>1088</v>
      </c>
      <c r="T106" s="1346"/>
      <c r="U106" s="1347"/>
      <c r="V106" s="73"/>
      <c r="W106" s="1387"/>
      <c r="X106" s="1388"/>
      <c r="Y106" s="1231"/>
      <c r="Z106" s="1231"/>
      <c r="AA106" s="1231"/>
      <c r="AB106" s="1231"/>
      <c r="AD106" s="10"/>
      <c r="AE106" s="10"/>
      <c r="AF106" s="10"/>
      <c r="AY106" s="734"/>
      <c r="AZ106" s="734"/>
      <c r="BA106" s="87"/>
      <c r="BB106" s="442"/>
      <c r="BC106" s="89"/>
      <c r="BD106" s="446"/>
      <c r="BE106" s="446"/>
      <c r="BF106" s="89"/>
      <c r="BG106" s="447"/>
      <c r="BH106" s="447"/>
      <c r="BI106" s="443"/>
    </row>
    <row r="107" spans="1:61" x14ac:dyDescent="0.3">
      <c r="B107" s="1699">
        <v>4</v>
      </c>
      <c r="D107" s="441" t="str">
        <f>'Cpts AR +indép + Sommaire'!B16</f>
        <v>Manque de sécurité</v>
      </c>
      <c r="E107" s="84"/>
      <c r="F107" s="50"/>
      <c r="G107" s="18"/>
      <c r="H107" s="18"/>
      <c r="I107" s="2595" t="s">
        <v>604</v>
      </c>
      <c r="J107" s="2596"/>
      <c r="K107" s="2596"/>
      <c r="L107" s="2597" t="s">
        <v>1086</v>
      </c>
      <c r="M107" s="2597"/>
      <c r="N107" s="2597"/>
      <c r="O107" s="2598"/>
      <c r="P107" s="2599" t="s">
        <v>603</v>
      </c>
      <c r="Q107" s="2600"/>
      <c r="R107" s="2601"/>
      <c r="S107" s="2590" t="s">
        <v>605</v>
      </c>
      <c r="T107" s="2591"/>
      <c r="U107" s="2592"/>
      <c r="V107" s="15"/>
      <c r="W107" s="817"/>
      <c r="X107" s="817"/>
      <c r="Y107" s="817"/>
      <c r="Z107" s="817"/>
      <c r="AA107" s="817"/>
      <c r="AB107" s="818"/>
      <c r="AD107" s="10"/>
      <c r="AE107" s="10"/>
      <c r="AF107" s="10"/>
      <c r="AG107" s="1386" t="s">
        <v>604</v>
      </c>
      <c r="AH107" s="1386" t="s">
        <v>603</v>
      </c>
      <c r="AI107" s="1386" t="s">
        <v>605</v>
      </c>
      <c r="AJ107" s="2589" t="s">
        <v>604</v>
      </c>
      <c r="AK107" s="2589"/>
      <c r="AL107" s="2589" t="s">
        <v>603</v>
      </c>
      <c r="AM107" s="2589"/>
      <c r="AN107" s="2589" t="s">
        <v>605</v>
      </c>
      <c r="AO107" s="2589"/>
      <c r="AY107" s="734"/>
      <c r="AZ107" s="734"/>
      <c r="BA107" s="87"/>
      <c r="BB107" s="442"/>
      <c r="BC107" s="89"/>
      <c r="BD107" s="446"/>
      <c r="BE107" s="446"/>
      <c r="BF107" s="89"/>
      <c r="BG107" s="447"/>
      <c r="BH107" s="447"/>
      <c r="BI107" s="443"/>
    </row>
    <row r="108" spans="1:61" ht="36" x14ac:dyDescent="0.3">
      <c r="D108" s="79" t="s">
        <v>779</v>
      </c>
      <c r="E108" s="835" t="s">
        <v>778</v>
      </c>
      <c r="F108" s="26" t="s">
        <v>226</v>
      </c>
      <c r="G108" s="26" t="s">
        <v>22</v>
      </c>
      <c r="H108" s="26" t="s">
        <v>612</v>
      </c>
      <c r="I108" s="1348" t="s">
        <v>269</v>
      </c>
      <c r="J108" s="29" t="s">
        <v>270</v>
      </c>
      <c r="K108" s="29" t="s">
        <v>271</v>
      </c>
      <c r="L108" s="29" t="s">
        <v>363</v>
      </c>
      <c r="M108" s="29" t="s">
        <v>339</v>
      </c>
      <c r="N108" s="29" t="s">
        <v>340</v>
      </c>
      <c r="O108" s="1349" t="s">
        <v>341</v>
      </c>
      <c r="P108" s="1348" t="s">
        <v>269</v>
      </c>
      <c r="Q108" s="29" t="s">
        <v>270</v>
      </c>
      <c r="R108" s="1349" t="s">
        <v>271</v>
      </c>
      <c r="S108" s="1348" t="s">
        <v>269</v>
      </c>
      <c r="T108" s="29" t="s">
        <v>270</v>
      </c>
      <c r="U108" s="1349" t="s">
        <v>271</v>
      </c>
      <c r="V108" s="736"/>
      <c r="W108" s="827" t="s">
        <v>604</v>
      </c>
      <c r="X108" s="828" t="s">
        <v>754</v>
      </c>
      <c r="Y108" s="827" t="s">
        <v>603</v>
      </c>
      <c r="Z108" s="828" t="s">
        <v>755</v>
      </c>
      <c r="AA108" s="827" t="s">
        <v>605</v>
      </c>
      <c r="AB108" s="828" t="s">
        <v>756</v>
      </c>
      <c r="AD108" s="10"/>
      <c r="AE108" s="10"/>
      <c r="AF108" s="10"/>
      <c r="AG108" s="10"/>
      <c r="AH108" s="10"/>
      <c r="AI108" s="10"/>
      <c r="AJ108" s="1490" t="s">
        <v>1058</v>
      </c>
      <c r="AK108" s="1490" t="s">
        <v>1059</v>
      </c>
      <c r="AL108" s="1490" t="s">
        <v>1058</v>
      </c>
      <c r="AM108" s="1490" t="s">
        <v>1059</v>
      </c>
      <c r="AN108" s="1490" t="s">
        <v>1058</v>
      </c>
      <c r="AO108" s="1490" t="s">
        <v>1059</v>
      </c>
      <c r="AY108" s="734"/>
      <c r="AZ108" s="734"/>
      <c r="BA108" s="87"/>
      <c r="BB108" s="442"/>
      <c r="BC108" s="89"/>
      <c r="BD108" s="446"/>
      <c r="BE108" s="446"/>
      <c r="BF108" s="89"/>
      <c r="BG108" s="447"/>
      <c r="BH108" s="447"/>
      <c r="BI108" s="443"/>
    </row>
    <row r="109" spans="1:61" ht="48" x14ac:dyDescent="0.2">
      <c r="A109" t="str">
        <f>IF(Test_Bible!B173="","F","O")</f>
        <v>O</v>
      </c>
      <c r="B109" s="1700" t="str">
        <f>'Cpts AR +indép + Sommaire'!G16</f>
        <v>Altération ou dévoiement de la réalité</v>
      </c>
      <c r="C109" s="379" t="str">
        <f>'Cpts AR +indép + Sommaire'!C16</f>
        <v>PFA05</v>
      </c>
      <c r="D109" s="25" t="str">
        <f>'Cpts AR +indép + Sommaire'!D16</f>
        <v>L'autre parent laisse entendre à votre enfant qu’il ou elle n’est pas en sécurité avec vous.</v>
      </c>
      <c r="E109" s="78" t="s">
        <v>345</v>
      </c>
      <c r="F109" s="709">
        <f>'Cpts AR +indép + Sommaire'!E16</f>
        <v>7</v>
      </c>
      <c r="G109" s="709">
        <f>'Cpts AR +indép + Sommaire'!F16</f>
        <v>2</v>
      </c>
      <c r="H109" s="709">
        <f>F109*G109</f>
        <v>14</v>
      </c>
      <c r="I109" s="1350">
        <v>4</v>
      </c>
      <c r="J109" s="1343">
        <v>10</v>
      </c>
      <c r="K109" s="31" t="b">
        <f>IF(AND(F109&gt;=I109,F109&lt;=J109),TRUE,FALSE)</f>
        <v>1</v>
      </c>
      <c r="L109" s="31"/>
      <c r="M109" s="31"/>
      <c r="N109" s="31"/>
      <c r="O109" s="1351"/>
      <c r="P109" s="1350">
        <v>4</v>
      </c>
      <c r="Q109" s="1343">
        <v>4</v>
      </c>
      <c r="R109" s="1351" t="b">
        <f>IF(AND(F109&gt;=P109,F109&lt;=Q109),TRUE,FALSE)</f>
        <v>0</v>
      </c>
      <c r="S109" s="1350">
        <v>4</v>
      </c>
      <c r="T109" s="1343">
        <v>7</v>
      </c>
      <c r="U109" s="1351" t="b">
        <f>IF(AND(F109&gt;=S109,F109&lt;=T109),TRUE,FALSE)</f>
        <v>1</v>
      </c>
      <c r="V109" s="807"/>
      <c r="W109" s="819"/>
      <c r="X109" s="820"/>
      <c r="Y109" s="819"/>
      <c r="Z109" s="820"/>
      <c r="AA109" s="819"/>
      <c r="AB109" s="820"/>
      <c r="AD109" s="10"/>
      <c r="AE109" s="10"/>
      <c r="AF109" s="10"/>
      <c r="AG109" s="832">
        <f>IF($K109=TRUE,H109,0)</f>
        <v>14</v>
      </c>
      <c r="AH109" s="832">
        <f>IF($R109=TRUE,H109,0)</f>
        <v>0</v>
      </c>
      <c r="AI109" s="832">
        <f>IF($U109=TRUE,H109,0)</f>
        <v>14</v>
      </c>
      <c r="AJ109" s="1490">
        <f t="shared" ref="AJ109:AJ110" si="140">IF(OR(I109=11,A109="F"),0,G109*I109)</f>
        <v>8</v>
      </c>
      <c r="AK109" s="1490">
        <f t="shared" ref="AK109:AK110" si="141">IF(OR(J109=11,A109="F"),0,G109*J109)</f>
        <v>20</v>
      </c>
      <c r="AL109" s="1490">
        <f t="shared" ref="AL109:AL110" si="142">IF(OR(P109=11,A109="F"),0,G109*P109)</f>
        <v>8</v>
      </c>
      <c r="AM109" s="1490">
        <f t="shared" ref="AM109:AM110" si="143">IF(OR(Q109=11,A109="F"),0,G109*Q109)</f>
        <v>8</v>
      </c>
      <c r="AN109" s="1490">
        <f t="shared" ref="AN109:AN110" si="144">IF(OR(S109=11,A109="F"),0,S109*G109)</f>
        <v>8</v>
      </c>
      <c r="AO109" s="1490">
        <f t="shared" ref="AO109:AO110" si="145">IF(OR(T109=11,A109="F"),0,T109*G109)</f>
        <v>14</v>
      </c>
      <c r="AY109" s="734"/>
      <c r="AZ109" s="734"/>
      <c r="BA109" s="87"/>
      <c r="BB109" s="442"/>
      <c r="BC109" s="89"/>
      <c r="BD109" s="446"/>
      <c r="BE109" s="446"/>
      <c r="BF109" s="89"/>
      <c r="BG109" s="447"/>
      <c r="BH109" s="447"/>
      <c r="BI109" s="443"/>
    </row>
    <row r="110" spans="1:61" ht="19" x14ac:dyDescent="0.2">
      <c r="B110" s="1531"/>
      <c r="C110" s="379"/>
      <c r="D110" s="25"/>
      <c r="E110" s="78"/>
      <c r="F110" s="709"/>
      <c r="G110" s="708"/>
      <c r="H110" s="709">
        <f>F110*G110</f>
        <v>0</v>
      </c>
      <c r="I110" s="1374">
        <v>11</v>
      </c>
      <c r="J110" s="1375">
        <v>11</v>
      </c>
      <c r="K110" s="31" t="b">
        <f>IF(AND(F110&gt;=I110,F110&lt;=J110),TRUE,FALSE)</f>
        <v>0</v>
      </c>
      <c r="L110" s="31"/>
      <c r="M110" s="31"/>
      <c r="N110" s="31"/>
      <c r="O110" s="1351"/>
      <c r="P110" s="1374">
        <v>11</v>
      </c>
      <c r="Q110" s="1375">
        <v>11</v>
      </c>
      <c r="R110" s="1351" t="b">
        <f>IF(AND(F110&gt;=P110,F110&lt;=Q110),TRUE,FALSE)</f>
        <v>0</v>
      </c>
      <c r="S110" s="1374">
        <v>11</v>
      </c>
      <c r="T110" s="1375">
        <v>11</v>
      </c>
      <c r="U110" s="1351" t="b">
        <f>IF(AND(F110&gt;=S110,F110&lt;=T110),TRUE,FALSE)</f>
        <v>0</v>
      </c>
      <c r="V110" s="807"/>
      <c r="W110" s="821"/>
      <c r="X110" s="822"/>
      <c r="Y110" s="821"/>
      <c r="Z110" s="822"/>
      <c r="AA110" s="821"/>
      <c r="AB110" s="822"/>
      <c r="AD110" s="10"/>
      <c r="AE110" s="10"/>
      <c r="AF110" s="10"/>
      <c r="AG110" s="832">
        <f>IF($K110=TRUE,H110,0)</f>
        <v>0</v>
      </c>
      <c r="AH110" s="832">
        <f>IF($R110=TRUE,H110,0)</f>
        <v>0</v>
      </c>
      <c r="AI110" s="832">
        <f>IF($U110=TRUE,H110,0)</f>
        <v>0</v>
      </c>
      <c r="AJ110" s="1490">
        <f t="shared" si="140"/>
        <v>0</v>
      </c>
      <c r="AK110" s="1490">
        <f t="shared" si="141"/>
        <v>0</v>
      </c>
      <c r="AL110" s="1490">
        <f t="shared" si="142"/>
        <v>0</v>
      </c>
      <c r="AM110" s="1490">
        <f t="shared" si="143"/>
        <v>0</v>
      </c>
      <c r="AN110" s="1490">
        <f t="shared" si="144"/>
        <v>0</v>
      </c>
      <c r="AO110" s="1490">
        <f t="shared" si="145"/>
        <v>0</v>
      </c>
      <c r="AY110" s="734"/>
      <c r="AZ110" s="734"/>
      <c r="BA110" s="87"/>
      <c r="BB110" s="442"/>
      <c r="BC110" s="89"/>
      <c r="BD110" s="446"/>
      <c r="BE110" s="446"/>
      <c r="BF110" s="89"/>
      <c r="BG110" s="447"/>
      <c r="BH110" s="447"/>
      <c r="BI110" s="443"/>
    </row>
    <row r="111" spans="1:61" ht="34" x14ac:dyDescent="0.2">
      <c r="B111" s="1702"/>
      <c r="C111" s="710" t="s">
        <v>609</v>
      </c>
      <c r="D111" s="711" t="str">
        <f>_xlfn.XLOOKUP(H111,H109:H110,D109:D110)</f>
        <v>L'autre parent laisse entendre à votre enfant qu’il ou elle n’est pas en sécurité avec vous.</v>
      </c>
      <c r="E111" s="712" t="str">
        <f>_xlfn.XLOOKUP(H111,H109:H110,E109:E110)</f>
        <v>laisse entendre que l'enfant n'est pas en sécurité</v>
      </c>
      <c r="F111" s="713"/>
      <c r="G111" s="713"/>
      <c r="H111" s="713">
        <f>IF(AND(K109=TRUE,K110=FALSE),H109,IF(AND(K109=FALSE,K110=TRUE),H110,MAX(H109,H110)))</f>
        <v>14</v>
      </c>
      <c r="I111" s="1352"/>
      <c r="J111" s="714"/>
      <c r="K111" s="715" t="b">
        <f>IF(AND(K109=FALSE,K110=FALSE),FALSE,TRUE)</f>
        <v>1</v>
      </c>
      <c r="L111" s="31"/>
      <c r="M111" s="31"/>
      <c r="N111" s="31"/>
      <c r="O111" s="1351"/>
      <c r="P111" s="1352"/>
      <c r="Q111" s="714"/>
      <c r="R111" s="1365" t="b">
        <f>IF(AND(R109=FALSE,R110=FALSE),FALSE,TRUE)</f>
        <v>0</v>
      </c>
      <c r="S111" s="1352"/>
      <c r="T111" s="714"/>
      <c r="U111" s="1365" t="b">
        <f>IF(AND(U109=FALSE,U110=FALSE),FALSE,TRUE)</f>
        <v>1</v>
      </c>
      <c r="V111" s="807"/>
      <c r="W111" s="821"/>
      <c r="X111" s="822"/>
      <c r="Y111" s="821"/>
      <c r="Z111" s="822"/>
      <c r="AA111" s="821"/>
      <c r="AB111" s="822"/>
      <c r="AD111" s="10"/>
      <c r="AE111" s="10"/>
      <c r="AF111" s="10"/>
      <c r="AG111" s="1740">
        <f>IF($K111=TRUE,MAX(AG109:AG110),0)</f>
        <v>14</v>
      </c>
      <c r="AH111" s="1740">
        <f>IF($R111=TRUE,MAX(AH109:AH110),0)</f>
        <v>0</v>
      </c>
      <c r="AI111" s="1740">
        <f>IF($U111=TRUE,MAX(AI109:AI110),0)</f>
        <v>14</v>
      </c>
      <c r="AJ111" s="1739">
        <f>MAX(AJ109:AJ110)</f>
        <v>8</v>
      </c>
      <c r="AK111" s="1739">
        <f t="shared" ref="AK111" si="146">MAX(AK109:AK110)</f>
        <v>20</v>
      </c>
      <c r="AL111" s="1739">
        <f t="shared" ref="AL111" si="147">MAX(AL109:AL110)</f>
        <v>8</v>
      </c>
      <c r="AM111" s="1739">
        <f t="shared" ref="AM111" si="148">MAX(AM109:AM110)</f>
        <v>8</v>
      </c>
      <c r="AN111" s="1739">
        <f t="shared" ref="AN111" si="149">MAX(AN109:AN110)</f>
        <v>8</v>
      </c>
      <c r="AO111" s="1739">
        <f t="shared" ref="AO111" si="150">MAX(AO109:AO110)</f>
        <v>14</v>
      </c>
      <c r="AY111" s="734"/>
      <c r="AZ111" s="734"/>
      <c r="BA111" s="87"/>
      <c r="BB111" s="442"/>
      <c r="BC111" s="89"/>
      <c r="BD111" s="446"/>
      <c r="BE111" s="446"/>
      <c r="BF111" s="89"/>
      <c r="BG111" s="447"/>
      <c r="BH111" s="447"/>
      <c r="BI111" s="443"/>
    </row>
    <row r="112" spans="1:61" ht="51" x14ac:dyDescent="0.2">
      <c r="A112" t="str">
        <f>IF(Test_Bible!B406="","F","O")</f>
        <v>O</v>
      </c>
      <c r="B112" s="1531" t="str">
        <f>'Cpts AR +indép + Sommaire'!M16</f>
        <v>Altération ou dévoiement de la réalité</v>
      </c>
      <c r="C112" s="38" t="str">
        <f>'Cpts AR +indép + Sommaire'!I16</f>
        <v>NC02</v>
      </c>
      <c r="D112" s="25" t="str">
        <f>'Cpts AR +indép + Sommaire'!J16</f>
        <v>Le nouveau ou nouvelle conjoint·e laisse entendre à votre enfant qu’il ou elle n’est pas en sécurité avec vous.</v>
      </c>
      <c r="E112" s="78" t="s">
        <v>656</v>
      </c>
      <c r="F112" s="709">
        <f>'Cpts AR +indép + Sommaire'!K16</f>
        <v>7</v>
      </c>
      <c r="G112" s="708">
        <f>'Cpts AR +indép + Sommaire'!L16</f>
        <v>2</v>
      </c>
      <c r="H112" s="709">
        <f>F112*G112</f>
        <v>14</v>
      </c>
      <c r="I112" s="1350">
        <v>4</v>
      </c>
      <c r="J112" s="1343">
        <v>10</v>
      </c>
      <c r="K112" s="31" t="b">
        <f>IF(AND(F112&gt;=I112,F112&lt;=J112),TRUE,FALSE)</f>
        <v>1</v>
      </c>
      <c r="L112" s="31"/>
      <c r="M112" s="31"/>
      <c r="N112" s="31"/>
      <c r="O112" s="1351"/>
      <c r="P112" s="1350">
        <v>7</v>
      </c>
      <c r="Q112" s="1343">
        <v>10</v>
      </c>
      <c r="R112" s="1351" t="b">
        <f>IF(AND(F112&gt;=P112,F112&lt;=Q112),TRUE,FALSE)</f>
        <v>1</v>
      </c>
      <c r="S112" s="1350">
        <v>4</v>
      </c>
      <c r="T112" s="1343">
        <v>10</v>
      </c>
      <c r="U112" s="1351" t="b">
        <f>IF(AND(F112&gt;=S112,F112&lt;=T112),TRUE,FALSE)</f>
        <v>1</v>
      </c>
      <c r="V112" s="807"/>
      <c r="W112" s="821"/>
      <c r="X112" s="822"/>
      <c r="Y112" s="821"/>
      <c r="Z112" s="822"/>
      <c r="AA112" s="821"/>
      <c r="AB112" s="822"/>
      <c r="AD112" s="10"/>
      <c r="AE112" s="10"/>
      <c r="AF112" s="10"/>
      <c r="AG112" s="832">
        <f>IF(K112=TRUE,H112,0)</f>
        <v>14</v>
      </c>
      <c r="AH112" s="832">
        <f>IF(R112=TRUE,H112,0)</f>
        <v>14</v>
      </c>
      <c r="AI112" s="832">
        <f>IF(U112=TRUE,H112,0)</f>
        <v>14</v>
      </c>
      <c r="AJ112" s="1490">
        <f t="shared" ref="AJ112:AJ113" si="151">IF(OR(I112=11,A112="F"),0,G112*I112)</f>
        <v>8</v>
      </c>
      <c r="AK112" s="1490">
        <f t="shared" ref="AK112:AK113" si="152">IF(OR(J112=11,A112="F"),0,G112*J112)</f>
        <v>20</v>
      </c>
      <c r="AL112" s="1490">
        <f t="shared" ref="AL112:AL113" si="153">IF(OR(P112=11,A112="F"),0,G112*P112)</f>
        <v>14</v>
      </c>
      <c r="AM112" s="1490">
        <f t="shared" ref="AM112:AM113" si="154">IF(OR(Q112=11,A112="F"),0,G112*Q112)</f>
        <v>20</v>
      </c>
      <c r="AN112" s="1490">
        <f t="shared" ref="AN112:AN113" si="155">IF(OR(S112=11,A112="F"),0,S112*G112)</f>
        <v>8</v>
      </c>
      <c r="AO112" s="1490">
        <f t="shared" ref="AO112:AO113" si="156">IF(OR(T112=11,A112="F"),0,T112*G112)</f>
        <v>20</v>
      </c>
      <c r="AY112" s="734"/>
      <c r="AZ112" s="734"/>
      <c r="BA112" s="87"/>
      <c r="BB112" s="442"/>
      <c r="BC112" s="89"/>
      <c r="BD112" s="446"/>
      <c r="BE112" s="446"/>
      <c r="BF112" s="89"/>
      <c r="BG112" s="447"/>
      <c r="BH112" s="447"/>
      <c r="BI112" s="443"/>
    </row>
    <row r="113" spans="1:78" ht="19" x14ac:dyDescent="0.2">
      <c r="B113" s="1700"/>
      <c r="C113" s="38"/>
      <c r="D113" s="25"/>
      <c r="E113" s="48"/>
      <c r="F113" s="27"/>
      <c r="G113" s="27"/>
      <c r="H113" s="27">
        <f>F113*G113</f>
        <v>0</v>
      </c>
      <c r="I113" s="1374">
        <v>11</v>
      </c>
      <c r="J113" s="1375">
        <v>11</v>
      </c>
      <c r="K113" s="31" t="b">
        <f>IF(AND(F113&gt;=I113,F113&lt;=J113),TRUE,FALSE)</f>
        <v>0</v>
      </c>
      <c r="L113" s="31"/>
      <c r="M113" s="31"/>
      <c r="N113" s="31"/>
      <c r="O113" s="1351"/>
      <c r="P113" s="1374">
        <v>11</v>
      </c>
      <c r="Q113" s="1375">
        <v>11</v>
      </c>
      <c r="R113" s="1351" t="b">
        <f>IF(AND(F113&gt;=P113,F113&lt;=Q113),TRUE,FALSE)</f>
        <v>0</v>
      </c>
      <c r="S113" s="1374">
        <v>11</v>
      </c>
      <c r="T113" s="1375">
        <v>11</v>
      </c>
      <c r="U113" s="1351" t="b">
        <f>IF(AND(F113&gt;=S113,F113&lt;=T113),TRUE,FALSE)</f>
        <v>0</v>
      </c>
      <c r="V113" s="807"/>
      <c r="W113" s="821"/>
      <c r="X113" s="822"/>
      <c r="Y113" s="821"/>
      <c r="Z113" s="822"/>
      <c r="AA113" s="821"/>
      <c r="AB113" s="822"/>
      <c r="AD113" s="10"/>
      <c r="AE113" s="10"/>
      <c r="AF113" s="10"/>
      <c r="AG113" s="832">
        <f>IF(K113=TRUE,H113,0)</f>
        <v>0</v>
      </c>
      <c r="AH113" s="832">
        <f>IF(R113=TRUE,H113,0)</f>
        <v>0</v>
      </c>
      <c r="AI113" s="832">
        <f>IF(U113=TRUE,H113,0)</f>
        <v>0</v>
      </c>
      <c r="AJ113" s="1490">
        <f t="shared" si="151"/>
        <v>0</v>
      </c>
      <c r="AK113" s="1490">
        <f t="shared" si="152"/>
        <v>0</v>
      </c>
      <c r="AL113" s="1490">
        <f t="shared" si="153"/>
        <v>0</v>
      </c>
      <c r="AM113" s="1490">
        <f t="shared" si="154"/>
        <v>0</v>
      </c>
      <c r="AN113" s="1490">
        <f t="shared" si="155"/>
        <v>0</v>
      </c>
      <c r="AO113" s="1490">
        <f t="shared" si="156"/>
        <v>0</v>
      </c>
      <c r="AV113" s="7"/>
      <c r="AX113" s="7"/>
      <c r="AY113" s="734"/>
      <c r="AZ113" s="734"/>
      <c r="BA113" s="87"/>
      <c r="BB113" s="442"/>
      <c r="BC113" s="89"/>
      <c r="BD113" s="446"/>
      <c r="BE113" s="446"/>
      <c r="BF113" s="89"/>
      <c r="BG113" s="447"/>
      <c r="BH113" s="447"/>
      <c r="BI113" s="443"/>
      <c r="BN113" s="25"/>
      <c r="BP113" s="7"/>
      <c r="BQ113" s="7"/>
      <c r="BR113" s="7"/>
      <c r="BS113" s="7"/>
      <c r="BT113" s="7"/>
      <c r="BU113" s="7"/>
      <c r="BV113" s="7"/>
      <c r="BW113" s="7"/>
      <c r="BX113" s="7"/>
      <c r="BY113" s="7"/>
      <c r="BZ113" s="7"/>
    </row>
    <row r="114" spans="1:78" ht="52" thickBot="1" x14ac:dyDescent="0.25">
      <c r="B114" s="1700"/>
      <c r="C114" s="716" t="s">
        <v>610</v>
      </c>
      <c r="D114" s="717" t="str">
        <f>_xlfn.XLOOKUP(H114,H112:H113,D112:D113)</f>
        <v>Le nouveau ou nouvelle conjoint·e laisse entendre à votre enfant qu’il ou elle n’est pas en sécurité avec vous.</v>
      </c>
      <c r="E114" s="718" t="str">
        <f>_xlfn.XLOOKUP(H114,H112:H113,E112:E113)</f>
        <v>Le nouveau conjoint.e laisse entendre que l'enfant n'est pas en sécurité</v>
      </c>
      <c r="F114" s="719"/>
      <c r="G114" s="719"/>
      <c r="H114" s="713">
        <f>IF(AND(K112=TRUE,K113=FALSE),H112,IF(AND(K112=FALSE,K113=TRUE),H113,MAX(H112,H113)))</f>
        <v>14</v>
      </c>
      <c r="I114" s="1353"/>
      <c r="J114" s="720"/>
      <c r="K114" s="721" t="b">
        <f>IF(AND(K112=FALSE,K113=FALSE),FALSE,TRUE)</f>
        <v>1</v>
      </c>
      <c r="L114" s="31"/>
      <c r="M114" s="31"/>
      <c r="N114" s="31"/>
      <c r="O114" s="1351"/>
      <c r="P114" s="1353"/>
      <c r="Q114" s="720"/>
      <c r="R114" s="1366" t="b">
        <f>IF(AND(R112=FALSE,R113=FALSE),FALSE,TRUE)</f>
        <v>1</v>
      </c>
      <c r="S114" s="1353"/>
      <c r="T114" s="720"/>
      <c r="U114" s="1366" t="b">
        <f>IF(AND(U112=FALSE,U113=FALSE),FALSE,TRUE)</f>
        <v>1</v>
      </c>
      <c r="V114" s="807"/>
      <c r="W114" s="821"/>
      <c r="X114" s="822"/>
      <c r="Y114" s="821"/>
      <c r="Z114" s="822"/>
      <c r="AA114" s="821"/>
      <c r="AB114" s="822"/>
      <c r="AD114" s="10"/>
      <c r="AE114" s="10"/>
      <c r="AF114" s="10"/>
      <c r="AG114" s="1740">
        <f>IF($K114=TRUE,MAX(AG112:AG113),0)</f>
        <v>14</v>
      </c>
      <c r="AH114" s="1740">
        <f>IF($R114=TRUE,MAX(AH112:AH113),0)</f>
        <v>14</v>
      </c>
      <c r="AI114" s="1740">
        <f>IF($U114=TRUE,MAX(AI112:AI113),0)</f>
        <v>14</v>
      </c>
      <c r="AJ114" s="1739">
        <f>MAX(AJ112:AJ113)</f>
        <v>8</v>
      </c>
      <c r="AK114" s="1739">
        <f t="shared" ref="AK114" si="157">MAX(AK112:AK113)</f>
        <v>20</v>
      </c>
      <c r="AL114" s="1739">
        <f t="shared" ref="AL114" si="158">MAX(AL112:AL113)</f>
        <v>14</v>
      </c>
      <c r="AM114" s="1739">
        <f t="shared" ref="AM114" si="159">MAX(AM112:AM113)</f>
        <v>20</v>
      </c>
      <c r="AN114" s="1739">
        <f t="shared" ref="AN114" si="160">MAX(AN112:AN113)</f>
        <v>8</v>
      </c>
      <c r="AO114" s="1739">
        <f t="shared" ref="AO114" si="161">MAX(AO112:AO113)</f>
        <v>20</v>
      </c>
      <c r="AV114" s="7"/>
      <c r="AX114" s="7"/>
      <c r="AY114" s="734"/>
      <c r="AZ114" s="734"/>
      <c r="BA114" s="87"/>
      <c r="BB114" s="442"/>
      <c r="BC114" s="89"/>
      <c r="BD114" s="446"/>
      <c r="BE114" s="446"/>
      <c r="BF114" s="89"/>
      <c r="BG114" s="447"/>
      <c r="BH114" s="447"/>
      <c r="BI114" s="443"/>
      <c r="BN114" s="25"/>
      <c r="BP114" s="7"/>
      <c r="BQ114" s="7"/>
      <c r="BR114" s="7"/>
      <c r="BS114" s="7"/>
      <c r="BT114" s="7"/>
      <c r="BU114" s="7"/>
      <c r="BV114" s="7"/>
      <c r="BW114" s="7"/>
      <c r="BX114" s="7"/>
      <c r="BY114" s="7"/>
      <c r="BZ114" s="7"/>
    </row>
    <row r="115" spans="1:78" ht="52" thickBot="1" x14ac:dyDescent="0.25">
      <c r="B115" s="1700"/>
      <c r="C115" s="722" t="s">
        <v>616</v>
      </c>
      <c r="D115" s="723"/>
      <c r="E115" s="723" t="str">
        <f>IF(H115=H111,E111,E114)</f>
        <v>Le nouveau conjoint.e laisse entendre que l'enfant n'est pas en sécurité</v>
      </c>
      <c r="F115" s="724"/>
      <c r="G115" s="724"/>
      <c r="H115" s="724">
        <f>IF(AND(K111=TRUE,K114=FALSE),H111,IF(AND(K111=FALSE,K114=TRUE),H114,IF(AND(K111=TRUE,K114=TRUE),H111+H114,MAX(H111,H114))))</f>
        <v>28</v>
      </c>
      <c r="I115" s="1354"/>
      <c r="J115" s="725"/>
      <c r="K115" s="726" t="b">
        <f>IF(AND(K111=FALSE,K114=FALSE),FALSE,TRUE)</f>
        <v>1</v>
      </c>
      <c r="L115" s="1338"/>
      <c r="M115" s="1338"/>
      <c r="N115" s="1338"/>
      <c r="O115" s="1355"/>
      <c r="P115" s="1354"/>
      <c r="Q115" s="725"/>
      <c r="R115" s="726" t="b">
        <f>IF(AND(R111=FALSE,R114=FALSE),FALSE,TRUE)</f>
        <v>1</v>
      </c>
      <c r="S115" s="1354"/>
      <c r="T115" s="725"/>
      <c r="U115" s="726" t="b">
        <f>IF(AND(U111=FALSE,U114=FALSE),FALSE,TRUE)</f>
        <v>1</v>
      </c>
      <c r="V115" s="807"/>
      <c r="W115" s="821" t="str">
        <f>IF(K115=TRUE,"V","F")</f>
        <v>V</v>
      </c>
      <c r="X115" s="822"/>
      <c r="Y115" s="821" t="str">
        <f>IF(R115=TRUE,"V","F")</f>
        <v>V</v>
      </c>
      <c r="Z115" s="822"/>
      <c r="AA115" s="821" t="str">
        <f>IF(U115=TRUE,"V","F")</f>
        <v>V</v>
      </c>
      <c r="AB115" s="822"/>
      <c r="AC115" t="str">
        <f>IF(OR(W115="V",Y115="V"),IF(H114&gt;H111,"Le NC contribue plus que le coparent","Le coparent joue un plus grand rôle que le NC"),"pas de contexte significatif de la part du coparent et NC")</f>
        <v>Le coparent joue un plus grand rôle que le NC</v>
      </c>
      <c r="AD115" s="10"/>
      <c r="AE115" s="10"/>
      <c r="AF115" s="10"/>
      <c r="AG115" s="591">
        <f>IF(AND($K111=TRUE,$K114=FALSE),AG111,IF(AND($K111=FALSE,$K114=TRUE),AG114,IF(AND($K111=TRUE,$K114=TRUE),AG111+AG114,0)))</f>
        <v>28</v>
      </c>
      <c r="AH115" s="591">
        <f>IF(AND($R111=TRUE,$R114=FALSE),AH111,IF(AND($R111=FALSE,$R114=TRUE),AH114,IF(AND($R111=TRUE,$R114=TRUE),AH111+AH114,0)))</f>
        <v>14</v>
      </c>
      <c r="AI115" s="591">
        <f>IF(AND($U111=TRUE,$U114=FALSE),AI111,IF(AND($U111=FALSE,$U114=TRUE),AI114,IF(AND($U111=TRUE,$U114=TRUE),AI111+AI114,0)))</f>
        <v>28</v>
      </c>
      <c r="AJ115" s="591">
        <f>IF(AND($K111=TRUE,$K114=FALSE),AJ111,IF(AND($K111=FALSE,$K114=TRUE),AJ114,IF(AND($K111=TRUE,$K114=TRUE),AJ111+AJ114,MAX(AJ111,AJ114))))</f>
        <v>16</v>
      </c>
      <c r="AK115" s="591">
        <f>IF(AND($K111=TRUE,$K114=FALSE),AK111,IF(AND($K111=FALSE,$K114=TRUE),AK114,IF(AND($K111=TRUE,$K114=TRUE),AK111+AK114,MAX(AK111,AK114))))</f>
        <v>40</v>
      </c>
      <c r="AL115" s="591">
        <f t="shared" ref="AL115" si="162">IF(AND($R111=TRUE,$R114=FALSE),AL111,IF(AND($R111=FALSE,$R114=TRUE),AL114,IF(AND($R111=TRUE,$R114=TRUE),AL111+AL114,MAX(AL111,AL114))))</f>
        <v>14</v>
      </c>
      <c r="AM115" s="591">
        <f t="shared" ref="AM115" si="163">IF(AND($R111=TRUE,$R114=FALSE),AM111,IF(AND($R111=FALSE,$R114=TRUE),AM114,IF(AND($R111=TRUE,$R114=TRUE),AM111+AM114,MAX(AM111,AM114))))</f>
        <v>20</v>
      </c>
      <c r="AN115" s="591">
        <f t="shared" ref="AN115" si="164">IF(AND($U111=TRUE,$U114=FALSE),AN111,IF(AND($U111=FALSE,$U114=TRUE),AN114,IF(AND($U111=TRUE,$U114=TRUE),AN111+AN114,MAX(AN111,AN114))))</f>
        <v>16</v>
      </c>
      <c r="AO115" s="591">
        <f t="shared" ref="AO115" si="165">IF(AND($U111=TRUE,$U114=FALSE),AO111,IF(AND($U111=FALSE,$U114=TRUE),AO114,IF(AND($U111=TRUE,$U114=TRUE),AO111+AO114,MAX(AO111,AO114))))</f>
        <v>34</v>
      </c>
      <c r="AV115" s="7"/>
      <c r="AX115" s="7"/>
      <c r="AY115" s="734"/>
      <c r="AZ115" s="734"/>
      <c r="BA115" s="87"/>
      <c r="BB115" s="442"/>
      <c r="BC115" s="89"/>
      <c r="BD115" s="446"/>
      <c r="BE115" s="446"/>
      <c r="BF115" s="89"/>
      <c r="BG115" s="447"/>
      <c r="BH115" s="447"/>
      <c r="BI115" s="443"/>
      <c r="BN115" s="25"/>
      <c r="BP115" s="7"/>
      <c r="BQ115" s="7"/>
      <c r="BR115" s="7"/>
      <c r="BS115" s="7"/>
      <c r="BT115" s="7"/>
      <c r="BU115" s="7"/>
      <c r="BV115" s="7"/>
      <c r="BW115" s="7"/>
      <c r="BX115" s="7"/>
      <c r="BY115" s="7"/>
      <c r="BZ115" s="7"/>
    </row>
    <row r="116" spans="1:78" ht="48" x14ac:dyDescent="0.2">
      <c r="A116" t="str">
        <f>IF(Test_Bible!B280="","F","O")</f>
        <v>F</v>
      </c>
      <c r="B116" s="1700" t="str">
        <f>'Cpts AR +indép + Sommaire'!S16</f>
        <v>Altération ou dévoiement de la réalité</v>
      </c>
      <c r="C116" s="287" t="str">
        <f>'Cpts AR +indép + Sommaire'!O16</f>
        <v>E06a1</v>
      </c>
      <c r="D116" s="25" t="str">
        <f>'Cpts AR +indép + Sommaire'!P16</f>
        <v>Arrive-t-il à votre enfant de vous reprocher d'être dangereux·se ou de présenter un danger pour sa sécurité ?</v>
      </c>
      <c r="E116" s="78" t="s">
        <v>620</v>
      </c>
      <c r="F116" s="709">
        <f>'Cpts AR +indép + Sommaire'!Q16</f>
        <v>0</v>
      </c>
      <c r="G116" s="708">
        <f>'Cpts AR +indép + Sommaire'!R16</f>
        <v>3</v>
      </c>
      <c r="H116" s="709">
        <f>F116*G116</f>
        <v>0</v>
      </c>
      <c r="I116" s="1350">
        <v>4</v>
      </c>
      <c r="J116" s="1343">
        <v>10</v>
      </c>
      <c r="K116" s="31" t="b">
        <f>IF(AND(F116&gt;=I116,F116&lt;=J116),TRUE,FALSE)</f>
        <v>0</v>
      </c>
      <c r="L116" s="31"/>
      <c r="M116" s="31"/>
      <c r="N116" s="31"/>
      <c r="O116" s="1351"/>
      <c r="P116" s="1350">
        <v>2</v>
      </c>
      <c r="Q116" s="1343">
        <v>7</v>
      </c>
      <c r="R116" s="1351" t="b">
        <f>IF(AND(F116&gt;=P116,F116&lt;=Q116),TRUE,FALSE)</f>
        <v>0</v>
      </c>
      <c r="S116" s="1350"/>
      <c r="T116" s="1343"/>
      <c r="U116" s="1351"/>
      <c r="V116" s="807"/>
      <c r="W116" s="821" t="s">
        <v>753</v>
      </c>
      <c r="X116" s="822"/>
      <c r="Y116" s="821"/>
      <c r="Z116" s="822"/>
      <c r="AA116" s="821"/>
      <c r="AB116" s="822"/>
      <c r="AD116" s="10"/>
      <c r="AE116" s="10"/>
      <c r="AF116" s="10"/>
      <c r="AG116" s="832">
        <f>IF($K116=TRUE,H116,0)</f>
        <v>0</v>
      </c>
      <c r="AH116" s="832">
        <f>IF($R116=TRUE,H116,0)</f>
        <v>0</v>
      </c>
      <c r="AI116" s="832"/>
      <c r="AJ116" s="1490">
        <f t="shared" ref="AJ116:AJ117" si="166">IF(OR(I116=11,A116="F"),0,G116*I116)</f>
        <v>0</v>
      </c>
      <c r="AK116" s="1490">
        <f t="shared" ref="AK116:AK117" si="167">IF(OR(J116=11,A116="F"),0,G116*J116)</f>
        <v>0</v>
      </c>
      <c r="AL116" s="1490">
        <f t="shared" ref="AL116:AL117" si="168">IF(OR(P116=11,A116="F"),0,G116*P116)</f>
        <v>0</v>
      </c>
      <c r="AM116" s="1490">
        <f t="shared" ref="AM116:AM117" si="169">IF(OR(Q116=11,A116="F"),0,G116*Q116)</f>
        <v>0</v>
      </c>
      <c r="AN116" s="1490">
        <f t="shared" ref="AN116:AN117" si="170">IF(OR(S116=11,A116="F"),0,S116*G116)</f>
        <v>0</v>
      </c>
      <c r="AO116" s="1490">
        <f t="shared" ref="AO116:AO117" si="171">IF(OR(T116=11,A116="F"),0,T116*G116)</f>
        <v>0</v>
      </c>
      <c r="AY116" s="734"/>
      <c r="AZ116" s="734"/>
      <c r="BA116" s="87"/>
      <c r="BB116" s="442"/>
      <c r="BC116" s="89"/>
      <c r="BD116" s="446"/>
      <c r="BE116" s="446"/>
      <c r="BF116" s="89"/>
      <c r="BG116" s="447"/>
      <c r="BH116" s="447"/>
      <c r="BI116" s="443"/>
    </row>
    <row r="117" spans="1:78" ht="20" thickBot="1" x14ac:dyDescent="0.25">
      <c r="B117" s="1700"/>
      <c r="C117" s="287" t="s">
        <v>272</v>
      </c>
      <c r="D117" s="25"/>
      <c r="E117" s="78"/>
      <c r="F117" s="709"/>
      <c r="G117" s="708"/>
      <c r="H117" s="709">
        <f>F117*G117</f>
        <v>0</v>
      </c>
      <c r="I117" s="1374">
        <v>11</v>
      </c>
      <c r="J117" s="1375">
        <v>11</v>
      </c>
      <c r="K117" s="31" t="b">
        <f>IF(AND(F117&gt;=I117,F117&lt;=J117),TRUE,FALSE)</f>
        <v>0</v>
      </c>
      <c r="L117" s="31"/>
      <c r="M117" s="31"/>
      <c r="N117" s="31"/>
      <c r="O117" s="1351"/>
      <c r="P117" s="1374">
        <v>11</v>
      </c>
      <c r="Q117" s="1375">
        <v>11</v>
      </c>
      <c r="R117" s="1351" t="b">
        <f>IF(AND(F117&gt;=P117,F117&lt;=Q117),TRUE,FALSE)</f>
        <v>0</v>
      </c>
      <c r="S117" s="1374"/>
      <c r="T117" s="1375"/>
      <c r="U117" s="1351"/>
      <c r="V117" s="807"/>
      <c r="W117" s="821"/>
      <c r="X117" s="822"/>
      <c r="Y117" s="821"/>
      <c r="Z117" s="822"/>
      <c r="AA117" s="821"/>
      <c r="AB117" s="822"/>
      <c r="AD117" s="10"/>
      <c r="AE117" s="10"/>
      <c r="AF117" s="10"/>
      <c r="AG117" s="832">
        <f>IF($K117=TRUE,H117,0)</f>
        <v>0</v>
      </c>
      <c r="AH117" s="832">
        <f>IF($R117=TRUE,H117,0)</f>
        <v>0</v>
      </c>
      <c r="AI117" s="832"/>
      <c r="AJ117" s="1490">
        <f t="shared" si="166"/>
        <v>0</v>
      </c>
      <c r="AK117" s="1490">
        <f t="shared" si="167"/>
        <v>0</v>
      </c>
      <c r="AL117" s="1490">
        <f t="shared" si="168"/>
        <v>0</v>
      </c>
      <c r="AM117" s="1490">
        <f t="shared" si="169"/>
        <v>0</v>
      </c>
      <c r="AN117" s="1490">
        <f t="shared" si="170"/>
        <v>0</v>
      </c>
      <c r="AO117" s="1490">
        <f t="shared" si="171"/>
        <v>0</v>
      </c>
      <c r="AY117" s="734"/>
      <c r="AZ117" s="734"/>
      <c r="BA117" s="87"/>
      <c r="BB117" s="442"/>
      <c r="BC117" s="89"/>
      <c r="BD117" s="446"/>
      <c r="BE117" s="446"/>
      <c r="BF117" s="89"/>
      <c r="BG117" s="447"/>
      <c r="BH117" s="447"/>
      <c r="BI117" s="443"/>
    </row>
    <row r="118" spans="1:78" ht="35" thickBot="1" x14ac:dyDescent="0.25">
      <c r="B118" s="1700"/>
      <c r="C118" s="727" t="s">
        <v>611</v>
      </c>
      <c r="D118" s="728" t="str">
        <f>_xlfn.XLOOKUP(H118,H116:H117,D116:D117)</f>
        <v>Arrive-t-il à votre enfant de vous reprocher d'être dangereux·se ou de présenter un danger pour sa sécurité ?</v>
      </c>
      <c r="E118" s="728" t="str">
        <f>_xlfn.XLOOKUP(H118,H116:H117,E116:E117)</f>
        <v>vous reproche de présenter un danger pour sa sécurité</v>
      </c>
      <c r="F118" s="729"/>
      <c r="G118" s="729"/>
      <c r="H118" s="729">
        <f>IF(AND(K116=TRUE,K117=FALSE),H116,IF(AND(K116=FALSE,K117=TRUE),H117,MAX(H116,H117)))</f>
        <v>0</v>
      </c>
      <c r="I118" s="1356"/>
      <c r="J118" s="730"/>
      <c r="K118" s="731" t="b">
        <f>IF(AND(K116=FALSE,K117=FALSE),FALSE,TRUE)</f>
        <v>0</v>
      </c>
      <c r="L118" s="1339"/>
      <c r="M118" s="1339"/>
      <c r="N118" s="1339"/>
      <c r="O118" s="1357"/>
      <c r="P118" s="1356"/>
      <c r="Q118" s="730"/>
      <c r="R118" s="731" t="b">
        <f>IF(AND(R116=FALSE,R117=FALSE),FALSE,TRUE)</f>
        <v>0</v>
      </c>
      <c r="S118" s="1356"/>
      <c r="T118" s="730"/>
      <c r="U118" s="731"/>
      <c r="V118" s="807"/>
      <c r="W118" s="821" t="str">
        <f>IF(K118=TRUE,"V","F")</f>
        <v>F</v>
      </c>
      <c r="X118" s="822"/>
      <c r="Y118" s="821" t="str">
        <f>IF(R118=TRUE,"V","F")</f>
        <v>F</v>
      </c>
      <c r="Z118" s="822"/>
      <c r="AA118" s="821"/>
      <c r="AB118" s="822"/>
      <c r="AD118" s="10"/>
      <c r="AE118" s="10"/>
      <c r="AF118" s="10"/>
      <c r="AG118" s="1742">
        <f>IF(AND($K116=TRUE,$K117=FALSE),AG116,IF(AND($K116=FALSE,$K117=TRUE),AG117,IF(AND($K116=TRUE,$K117=TRUE),MAX(AG116,AG117),0)))</f>
        <v>0</v>
      </c>
      <c r="AH118" s="1742">
        <f>IF(AND($R116=TRUE,$R117=FALSE),AH116,IF(AND($R116=FALSE,$R117=TRUE),AH117,IF(AND($R116=TRUE,$R117=TRUE),MAX(AH116,AH117),0)))</f>
        <v>0</v>
      </c>
      <c r="AI118" s="1742"/>
      <c r="AJ118" s="1742">
        <f>IF(AND($K116=TRUE,$K117=FALSE),AJ116,IF(AND($K116=FALSE,$K117=TRUE),AJ117,IF(AND($K116=TRUE,$K117=TRUE),MAX(AJ116,AJ117),0)))</f>
        <v>0</v>
      </c>
      <c r="AK118" s="1742">
        <f>IF(AND($K116=TRUE,$K117=FALSE),AK116,IF(AND($K116=FALSE,$K117=TRUE),AK117,IF(AND($K116=TRUE,$K117=TRUE),MAX(AK116,AK117),0)))</f>
        <v>0</v>
      </c>
      <c r="AL118" s="1742">
        <f t="shared" ref="AL118" si="172">IF(AND($R116=TRUE,$R117=FALSE),AL116,IF(AND($R116=FALSE,$R117=TRUE),AL117,IF(AND($R116=TRUE,$R117=TRUE),MAX(AL116,AL117),0)))</f>
        <v>0</v>
      </c>
      <c r="AM118" s="1742">
        <f t="shared" ref="AM118" si="173">IF(AND($R116=TRUE,$R117=FALSE),AM116,IF(AND($R116=FALSE,$R117=TRUE),AM117,IF(AND($R116=TRUE,$R117=TRUE),MAX(AM116,AM117),0)))</f>
        <v>0</v>
      </c>
      <c r="AN118" s="1742"/>
      <c r="AO118" s="1742"/>
      <c r="AY118" s="734"/>
      <c r="AZ118" s="734"/>
      <c r="BA118" s="87"/>
      <c r="BB118" s="442"/>
      <c r="BC118" s="89"/>
      <c r="BD118" s="446"/>
      <c r="BE118" s="446"/>
      <c r="BF118" s="89"/>
      <c r="BG118" s="447"/>
      <c r="BH118" s="447"/>
      <c r="BI118" s="443"/>
    </row>
    <row r="119" spans="1:78" ht="68" x14ac:dyDescent="0.2">
      <c r="B119" s="1700"/>
      <c r="D119" s="386" t="s">
        <v>273</v>
      </c>
      <c r="E119" s="705"/>
      <c r="F119" s="439" t="s">
        <v>349</v>
      </c>
      <c r="G119" s="33"/>
      <c r="H119" s="33">
        <f>IF(AND(K115=TRUE,K118=FALSE),H115,IF(AND(K115=FALSE,K118=TRUE),H118,IF(AND(K115=TRUE,K118=TRUE),H115+H118,MAX(H115,H118))))</f>
        <v>28</v>
      </c>
      <c r="I119" s="1358"/>
      <c r="J119" s="440"/>
      <c r="K119" s="1341"/>
      <c r="L119" s="1342" t="str">
        <f>IF(AND(K118=TRUE,K115=TRUE),E118,"")</f>
        <v/>
      </c>
      <c r="M119" s="1342" t="str">
        <f>IF(AND(K115=TRUE,K118=FALSE),"Bien que le parent "&amp;E115&amp;" l'enfant ne semble pas s'ingérer","")</f>
        <v>Bien que le parent Le nouveau conjoint.e laisse entendre que l'enfant n'est pas en sécurité l'enfant ne semble pas s'ingérer</v>
      </c>
      <c r="N119" s="1342" t="str">
        <f>IF(AND(K115=FALSE,K118=TRUE),E118&amp;" sans signe de la participation du parent favorisé et|ou nouveau conjoint.e","")</f>
        <v/>
      </c>
      <c r="O119" s="1359" t="str">
        <f>IF(AND(K115=FALSE,K118=FALSE),"aucun comportement significatif de cette nature","")</f>
        <v/>
      </c>
      <c r="P119" s="1358"/>
      <c r="Q119" s="440"/>
      <c r="R119" s="1367"/>
      <c r="S119" s="1358"/>
      <c r="T119" s="440"/>
      <c r="U119" s="1367"/>
      <c r="V119" s="145"/>
      <c r="W119" s="823"/>
      <c r="X119" s="824">
        <f>IF(AND(W115="V",W118="V"),2,IF(OR(W115="V",W118="V"),1,0))</f>
        <v>1</v>
      </c>
      <c r="Y119" s="823"/>
      <c r="Z119" s="824">
        <f>IF(OR(Y115="V",Y118="V"),1,0)</f>
        <v>1</v>
      </c>
      <c r="AA119" s="823"/>
      <c r="AB119" s="824"/>
      <c r="AD119" s="10"/>
      <c r="AE119" s="10"/>
      <c r="AF119" s="10"/>
      <c r="AG119" s="1738">
        <f>IF(AND($W115="V",$W118="F"),AG115,IF(AND($W115="F",$W118="V"),AG118,IF(AND($W115="V",$W118="V"),AG115+AG118,0)))</f>
        <v>28</v>
      </c>
      <c r="AH119" s="1738">
        <f>IF(AND($Y115="V",$Y118="F"),AH115,IF(AND($Y115="F",$Y118="V"),AH118,IF(AND($Y115="V",$Y118="V"),AH115+AH118,0)))</f>
        <v>14</v>
      </c>
      <c r="AI119" s="1738"/>
      <c r="AJ119" s="1738">
        <f>IF(AND($W115="V",$W118="F"),AJ115,IF(AND($W115="F",$W118="V"),AJ118,IF(AND($W115="V",$W118="V"),AJ115+AJ118,0)))</f>
        <v>16</v>
      </c>
      <c r="AK119" s="1738">
        <f>IF(AND($W115="V",$W118="F"),AK115,IF(AND($W115="F",$W118="V"),AK118,IF(AND($W115="V",$W118="V"),AK115+AK118,0)))</f>
        <v>40</v>
      </c>
      <c r="AL119" s="1738">
        <f>IF(AND($Y115="V",$Y118="F"),AL115,IF(AND($Y115="F",$Y118="V"),AL118,IF(AND($Y115="V",$Y118="V"),AL115+AL118,0)))</f>
        <v>14</v>
      </c>
      <c r="AM119" s="1738">
        <f>IF(AND($Y115="V",$Y118="F"),AM115,IF(AND($Y115="F",$Y118="V"),AM118,IF(AND($Y115="V",$Y118="V"),AM115+AM118,0)))</f>
        <v>20</v>
      </c>
      <c r="AN119" s="1738"/>
      <c r="AO119" s="1738"/>
      <c r="AY119" s="734"/>
      <c r="AZ119" s="734"/>
      <c r="BA119" s="87"/>
      <c r="BB119" s="442"/>
      <c r="BC119" s="89"/>
      <c r="BD119" s="446"/>
      <c r="BE119" s="446"/>
      <c r="BF119" s="89"/>
      <c r="BG119" s="447"/>
      <c r="BH119" s="447"/>
      <c r="BI119" s="443"/>
    </row>
    <row r="120" spans="1:78" ht="19" x14ac:dyDescent="0.2">
      <c r="B120" s="1700"/>
      <c r="C120" t="s">
        <v>238</v>
      </c>
      <c r="I120" s="122"/>
      <c r="L120" s="32"/>
      <c r="M120" s="32"/>
      <c r="N120" s="32"/>
      <c r="O120" s="1379"/>
      <c r="P120" s="122"/>
      <c r="R120" s="292"/>
      <c r="S120" s="122"/>
      <c r="U120" s="292"/>
      <c r="V120" s="32"/>
      <c r="W120" s="821"/>
      <c r="X120" s="822"/>
      <c r="Y120" s="821"/>
      <c r="Z120" s="822"/>
      <c r="AA120" s="821"/>
      <c r="AB120" s="822"/>
      <c r="AD120" s="10"/>
      <c r="AE120" s="10"/>
      <c r="AF120" s="10"/>
      <c r="AG120" s="832"/>
      <c r="AH120" s="832"/>
      <c r="AI120" s="832"/>
      <c r="AJ120" s="1490"/>
      <c r="AK120" s="1490"/>
      <c r="AL120" s="1490"/>
      <c r="AM120" s="1490"/>
      <c r="AN120" s="1490"/>
      <c r="AO120" s="1490"/>
      <c r="AY120" s="734"/>
      <c r="AZ120" s="734"/>
      <c r="BA120" s="87"/>
      <c r="BB120" s="442"/>
      <c r="BC120" s="89"/>
      <c r="BD120" s="446"/>
      <c r="BE120" s="446"/>
      <c r="BF120" s="89"/>
      <c r="BG120" s="447"/>
      <c r="BH120" s="447"/>
      <c r="BI120" s="443"/>
    </row>
    <row r="121" spans="1:78" ht="19" x14ac:dyDescent="0.2">
      <c r="B121" s="1700"/>
      <c r="C121" s="825"/>
      <c r="D121" s="829"/>
      <c r="E121" s="826"/>
      <c r="F121" s="830"/>
      <c r="G121" s="830"/>
      <c r="H121" s="830">
        <f>F121*G121</f>
        <v>0</v>
      </c>
      <c r="I121" s="1374">
        <v>11</v>
      </c>
      <c r="J121" s="1375">
        <v>11</v>
      </c>
      <c r="K121" s="31" t="b">
        <f>IF(AND(F121&gt;=I121,F121&lt;=J121),TRUE,FALSE)</f>
        <v>0</v>
      </c>
      <c r="L121" s="26"/>
      <c r="M121" s="26"/>
      <c r="N121" s="26"/>
      <c r="O121" s="1360"/>
      <c r="P121" s="1374">
        <v>11</v>
      </c>
      <c r="Q121" s="1375">
        <v>11</v>
      </c>
      <c r="R121" s="1351" t="b">
        <f>IF(AND(F121&gt;=P121,F121&lt;=Q121),TRUE,FALSE)</f>
        <v>0</v>
      </c>
      <c r="S121" s="1374">
        <v>11</v>
      </c>
      <c r="T121" s="1375">
        <v>11</v>
      </c>
      <c r="U121" s="1351" t="b">
        <f>IF(AND(F121&gt;=S121,F121&lt;=T121),TRUE,FALSE)</f>
        <v>0</v>
      </c>
      <c r="V121" s="32"/>
      <c r="W121" s="821"/>
      <c r="X121" s="822"/>
      <c r="Y121" s="821"/>
      <c r="Z121" s="822"/>
      <c r="AA121" s="821"/>
      <c r="AB121" s="822"/>
      <c r="AD121" s="10"/>
      <c r="AE121" s="10"/>
      <c r="AF121" s="10"/>
      <c r="AG121" s="832">
        <f>IF($K121=TRUE,H121,0)</f>
        <v>0</v>
      </c>
      <c r="AH121" s="832">
        <f>IF($R121=TRUE,H121,0)</f>
        <v>0</v>
      </c>
      <c r="AI121" s="832">
        <f>IF($U121=TRUE,H121,0)</f>
        <v>0</v>
      </c>
      <c r="AJ121" s="1490">
        <f t="shared" ref="AJ121:AJ122" si="174">IF(OR(I121=11,A121="F"),0,G121*I121)</f>
        <v>0</v>
      </c>
      <c r="AK121" s="1490">
        <f t="shared" ref="AK121:AK122" si="175">IF(OR(J121=11,A121="F"),0,G121*J121)</f>
        <v>0</v>
      </c>
      <c r="AL121" s="1490">
        <f t="shared" ref="AL121:AL122" si="176">IF(OR(P121=11,A121="F"),0,G121*P121)</f>
        <v>0</v>
      </c>
      <c r="AM121" s="1490">
        <f t="shared" ref="AM121:AM122" si="177">IF(OR(Q121=11,A121="F"),0,G121*Q121)</f>
        <v>0</v>
      </c>
      <c r="AN121" s="1490">
        <f t="shared" ref="AN121:AN122" si="178">IF(OR(S121=11,A121="F"),0,S121*G121)</f>
        <v>0</v>
      </c>
      <c r="AO121" s="1490">
        <f t="shared" ref="AO121:AO122" si="179">IF(OR(T121=11,A121="F"),0,T121*G121)</f>
        <v>0</v>
      </c>
      <c r="AY121" s="734"/>
      <c r="AZ121" s="734"/>
      <c r="BA121" s="87"/>
      <c r="BB121" s="442"/>
      <c r="BC121" s="89"/>
      <c r="BD121" s="446"/>
      <c r="BE121" s="446"/>
      <c r="BF121" s="89"/>
      <c r="BG121" s="447"/>
      <c r="BH121" s="447"/>
      <c r="BI121" s="443"/>
    </row>
    <row r="122" spans="1:78" ht="20" thickBot="1" x14ac:dyDescent="0.25">
      <c r="B122" s="1700"/>
      <c r="C122" s="825"/>
      <c r="D122" s="829"/>
      <c r="E122" s="826"/>
      <c r="F122" s="830"/>
      <c r="G122" s="830"/>
      <c r="H122" s="830">
        <f>F122*G122</f>
        <v>0</v>
      </c>
      <c r="I122" s="1374">
        <v>11</v>
      </c>
      <c r="J122" s="1375">
        <v>11</v>
      </c>
      <c r="K122" s="31" t="b">
        <f>IF(AND(F122&gt;=I122,F122&lt;=J122),TRUE,FALSE)</f>
        <v>0</v>
      </c>
      <c r="L122" s="26"/>
      <c r="M122" s="26"/>
      <c r="N122" s="26"/>
      <c r="O122" s="1360"/>
      <c r="P122" s="1374">
        <v>11</v>
      </c>
      <c r="Q122" s="1375">
        <v>11</v>
      </c>
      <c r="R122" s="1351" t="b">
        <f>IF(AND(F122&gt;=P122,F122&lt;=Q122),TRUE,FALSE)</f>
        <v>0</v>
      </c>
      <c r="S122" s="1374">
        <v>11</v>
      </c>
      <c r="T122" s="1375">
        <v>11</v>
      </c>
      <c r="U122" s="1351" t="b">
        <f>IF(AND(F122&gt;=S122,F122&lt;=T122),TRUE,FALSE)</f>
        <v>0</v>
      </c>
      <c r="W122" s="821"/>
      <c r="X122" s="822"/>
      <c r="Y122" s="821"/>
      <c r="Z122" s="822"/>
      <c r="AA122" s="821"/>
      <c r="AB122" s="822"/>
      <c r="AD122" s="10"/>
      <c r="AE122" s="10"/>
      <c r="AF122" s="10"/>
      <c r="AG122" s="832">
        <f>IF($K122=TRUE,H122,0)</f>
        <v>0</v>
      </c>
      <c r="AH122" s="832">
        <f>IF($R122=TRUE,H122,0)</f>
        <v>0</v>
      </c>
      <c r="AI122" s="832">
        <f>IF($U122=TRUE,H122,0)</f>
        <v>0</v>
      </c>
      <c r="AJ122" s="1490">
        <f t="shared" si="174"/>
        <v>0</v>
      </c>
      <c r="AK122" s="1490">
        <f t="shared" si="175"/>
        <v>0</v>
      </c>
      <c r="AL122" s="1490">
        <f t="shared" si="176"/>
        <v>0</v>
      </c>
      <c r="AM122" s="1490">
        <f t="shared" si="177"/>
        <v>0</v>
      </c>
      <c r="AN122" s="1490">
        <f t="shared" si="178"/>
        <v>0</v>
      </c>
      <c r="AO122" s="1490">
        <f t="shared" si="179"/>
        <v>0</v>
      </c>
      <c r="AY122" s="734"/>
      <c r="AZ122" s="734"/>
      <c r="BA122" s="87"/>
      <c r="BB122" s="442"/>
      <c r="BC122" s="89"/>
      <c r="BD122" s="446"/>
      <c r="BE122" s="446"/>
      <c r="BF122" s="89"/>
      <c r="BG122" s="447"/>
      <c r="BH122" s="447"/>
      <c r="BI122" s="443"/>
    </row>
    <row r="123" spans="1:78" ht="22" thickBot="1" x14ac:dyDescent="0.25">
      <c r="B123" s="1700"/>
      <c r="D123" s="16"/>
      <c r="E123" s="16"/>
      <c r="F123" s="67"/>
      <c r="G123" s="438"/>
      <c r="H123" s="33">
        <f>IF(AND(K121=TRUE,K122=FALSE),H121,IF(AND(K121=FALSE,K122=TRUE),H122,MAX(H121,H122)))</f>
        <v>0</v>
      </c>
      <c r="I123" s="1371"/>
      <c r="J123" s="1372"/>
      <c r="K123" s="1378" t="b">
        <f>IF(AND(K121=FALSE,K122=FALSE),FALSE,TRUE)</f>
        <v>0</v>
      </c>
      <c r="L123" s="1361"/>
      <c r="M123" s="1362"/>
      <c r="N123" s="1362"/>
      <c r="O123" s="1363"/>
      <c r="P123" s="1371"/>
      <c r="Q123" s="1372"/>
      <c r="R123" s="1378" t="b">
        <f>IF(AND(R121=FALSE,R122=FALSE),FALSE,TRUE)</f>
        <v>0</v>
      </c>
      <c r="S123" s="1383"/>
      <c r="T123" s="1384"/>
      <c r="U123" s="1385" t="b">
        <f>IF(AND(U121=FALSE,U122=FALSE),FALSE,TRUE)</f>
        <v>0</v>
      </c>
      <c r="V123" s="145"/>
      <c r="W123" s="1315" t="str">
        <f>IF(K123=TRUE,"V","F")</f>
        <v>F</v>
      </c>
      <c r="X123" s="1316"/>
      <c r="Y123" s="1315" t="str">
        <f>IF(R123=TRUE,"V","F")</f>
        <v>F</v>
      </c>
      <c r="Z123" s="1316"/>
      <c r="AA123" s="1315" t="str">
        <f>IF(U123=TRUE,"V","F")</f>
        <v>F</v>
      </c>
      <c r="AB123" s="1316"/>
      <c r="AD123" s="10"/>
      <c r="AE123" s="10"/>
      <c r="AF123" s="10"/>
      <c r="AG123" s="1742">
        <f>IF(AND($K121=TRUE,$K122=FALSE),AG121,IF(AND($K121=FALSE,$K122=TRUE),AG122,MAX(AG121,AG122)))</f>
        <v>0</v>
      </c>
      <c r="AH123" s="1742">
        <f>IF(AND($R121=TRUE,$R122=FALSE),AH121,IF(AND($R121=FALSE,$R122=TRUE),AH122,MAX(AH121,AH122)))</f>
        <v>0</v>
      </c>
      <c r="AI123" s="1742">
        <f>IF(AND($U121=TRUE,$U122=FALSE),AI121,IF(AND($U121=FALSE,$U122=TRUE),AI122,MAX(AI121,AI122)))</f>
        <v>0</v>
      </c>
      <c r="AJ123" s="1742">
        <f>IF(AND($K121=TRUE,$K122=FALSE),AJ121,IF(AND($K121=FALSE,$K122=TRUE),AJ122,MAX(AJ121,AJ122)))</f>
        <v>0</v>
      </c>
      <c r="AK123" s="1742">
        <f>IF(AND($K121=TRUE,$K122=FALSE),AK121,IF(AND($K121=FALSE,$K122=TRUE),AK122,MAX(AK121,AK122)))</f>
        <v>0</v>
      </c>
      <c r="AL123" s="1742">
        <f>IF(AND($R121=TRUE,$R122=FALSE),AL121,IF(AND($R121=FALSE,$R122=TRUE),AL122,MAX(AL121,AL122)))</f>
        <v>0</v>
      </c>
      <c r="AM123" s="1742">
        <f>IF(AND($R121=TRUE,$R122=FALSE),AM121,IF(AND($R121=FALSE,$R122=TRUE),AM122,MAX(AM121,AM122)))</f>
        <v>0</v>
      </c>
      <c r="AN123" s="1742">
        <f>IF(AND($U121=TRUE,$U122=FALSE),AN121,IF(AND($U121=FALSE,$U122=TRUE),AN122,MAX(AN121,AN122)))</f>
        <v>0</v>
      </c>
      <c r="AO123" s="1742">
        <f>IF(AND($U121=TRUE,$U122=FALSE),AO121,IF(AND($U121=FALSE,$U122=TRUE),AO122,MAX(AO121,AO122)))</f>
        <v>0</v>
      </c>
      <c r="AY123" s="734"/>
      <c r="AZ123" s="734"/>
      <c r="BA123" s="87"/>
      <c r="BB123" s="442"/>
      <c r="BC123" s="89"/>
      <c r="BD123" s="446"/>
      <c r="BE123" s="446"/>
      <c r="BF123" s="89"/>
      <c r="BG123" s="447"/>
      <c r="BH123" s="447"/>
      <c r="BI123" s="443"/>
    </row>
    <row r="124" spans="1:78" ht="27" thickBot="1" x14ac:dyDescent="0.35">
      <c r="D124" s="16"/>
      <c r="E124" s="16"/>
      <c r="F124" s="67"/>
      <c r="G124" s="438"/>
      <c r="H124" s="438"/>
      <c r="I124" s="8"/>
      <c r="J124" s="8"/>
      <c r="K124" s="63"/>
      <c r="L124" s="145"/>
      <c r="M124" s="145"/>
      <c r="N124" s="145"/>
      <c r="O124" s="145"/>
      <c r="P124" s="145"/>
      <c r="Q124" s="145"/>
      <c r="R124" s="145"/>
      <c r="S124" s="145"/>
      <c r="T124" s="145"/>
      <c r="U124" s="145"/>
      <c r="V124" s="145"/>
      <c r="W124" s="1376"/>
      <c r="X124" s="1377">
        <f>IF(AND(W123="V",W115="V"),X119-1,X119)</f>
        <v>1</v>
      </c>
      <c r="Y124" s="1376"/>
      <c r="Z124" s="1377">
        <f>IF(OR(Y115="V",Y118="V",Y123="V"),1,0)</f>
        <v>1</v>
      </c>
      <c r="AA124" s="1376"/>
      <c r="AB124" s="1377">
        <f>IF(AA115="V",1,IF(AA123="V",1,0))</f>
        <v>1</v>
      </c>
      <c r="AD124" s="10">
        <f>X124</f>
        <v>1</v>
      </c>
      <c r="AE124" s="10">
        <f>Z124</f>
        <v>1</v>
      </c>
      <c r="AF124" s="10">
        <f>AB124</f>
        <v>1</v>
      </c>
      <c r="AG124" s="1741">
        <f>IF($W123="F",AG119,AG119+AG123)</f>
        <v>28</v>
      </c>
      <c r="AH124" s="1741">
        <f>IF($Y123="F",AH119,AH119+AH123)</f>
        <v>14</v>
      </c>
      <c r="AI124" s="1741">
        <f>IF(AND($AA115="V",$AA123="F"),AI115,IF(AND($AA115="F",$AA123="V"),AI123,IF(AND($AA115="V",$AA123="V"),AI115+AI123,0)))</f>
        <v>28</v>
      </c>
      <c r="AJ124" s="1741">
        <f>IF($W123="F",AJ119,AJ119+AJ123)</f>
        <v>16</v>
      </c>
      <c r="AK124" s="1741">
        <f t="shared" ref="AK124" si="180">IF($W123="F",AK119,AK119+AK123)</f>
        <v>40</v>
      </c>
      <c r="AL124" s="1741">
        <f t="shared" ref="AL124" si="181">IF($Y123="F",AL119,AL119+AL123)</f>
        <v>14</v>
      </c>
      <c r="AM124" s="1741">
        <f t="shared" ref="AM124" si="182">IF($Y123="F",AM119,AM119+AM123)</f>
        <v>20</v>
      </c>
      <c r="AN124" s="1741">
        <f t="shared" ref="AN124" si="183">IF(AND($AA115="V",$AA123="F"),AN115,IF(AND($AA115="F",$AA123="V"),AN123,IF(AND($AA115="V",$AA123="V"),AN115+AN123,0)))</f>
        <v>16</v>
      </c>
      <c r="AO124" s="1741">
        <f t="shared" ref="AO124" si="184">IF(AND($AA115="V",$AA123="F"),AO115,IF(AND($AA115="F",$AA123="V"),AO123,IF(AND($AA115="V",$AA123="V"),AO115+AO123,0)))</f>
        <v>34</v>
      </c>
      <c r="AY124" s="734"/>
      <c r="AZ124" s="734"/>
      <c r="BA124" s="87"/>
      <c r="BB124" s="442"/>
      <c r="BC124" s="89"/>
      <c r="BD124" s="446"/>
      <c r="BE124" s="446"/>
      <c r="BF124" s="89"/>
      <c r="BG124" s="447"/>
      <c r="BH124" s="447"/>
      <c r="BI124" s="443"/>
    </row>
    <row r="125" spans="1:78" x14ac:dyDescent="0.3">
      <c r="D125" s="16"/>
      <c r="E125" s="16"/>
      <c r="F125" s="67"/>
      <c r="G125" s="438"/>
      <c r="H125" s="438"/>
      <c r="I125" s="2609" t="s">
        <v>1090</v>
      </c>
      <c r="J125" s="2610"/>
      <c r="K125" s="2611"/>
      <c r="L125" s="2603"/>
      <c r="M125" s="2603"/>
      <c r="N125" s="2603"/>
      <c r="O125" s="1347"/>
      <c r="P125" s="2606" t="s">
        <v>1089</v>
      </c>
      <c r="Q125" s="2607"/>
      <c r="R125" s="2608"/>
      <c r="S125" s="1394" t="s">
        <v>1088</v>
      </c>
      <c r="T125" s="1346"/>
      <c r="U125" s="1347"/>
      <c r="V125" s="145"/>
      <c r="W125" s="1387"/>
      <c r="X125" s="1388"/>
      <c r="Y125" s="1231"/>
      <c r="Z125" s="1231"/>
      <c r="AA125" s="1231"/>
      <c r="AB125" s="1231"/>
      <c r="AD125" s="10"/>
      <c r="AE125" s="10"/>
      <c r="AF125" s="10"/>
      <c r="AY125" s="734"/>
      <c r="AZ125" s="734"/>
      <c r="BA125" s="87"/>
      <c r="BB125" s="442"/>
      <c r="BC125" s="89"/>
      <c r="BD125" s="446"/>
      <c r="BE125" s="446"/>
      <c r="BF125" s="89"/>
      <c r="BG125" s="447"/>
      <c r="BH125" s="447"/>
      <c r="BI125" s="443"/>
    </row>
    <row r="126" spans="1:78" x14ac:dyDescent="0.3">
      <c r="B126" s="1699">
        <v>5</v>
      </c>
      <c r="D126" s="441" t="str">
        <f>'Cpts AR +indép + Sommaire'!B18</f>
        <v>Modifications des faits et souvenirs</v>
      </c>
      <c r="E126" s="84"/>
      <c r="F126" s="50"/>
      <c r="G126" s="18"/>
      <c r="H126" s="18"/>
      <c r="I126" s="2595" t="s">
        <v>604</v>
      </c>
      <c r="J126" s="2596"/>
      <c r="K126" s="2596"/>
      <c r="L126" s="2597" t="s">
        <v>1086</v>
      </c>
      <c r="M126" s="2597"/>
      <c r="N126" s="2597"/>
      <c r="O126" s="2598"/>
      <c r="P126" s="2599" t="s">
        <v>603</v>
      </c>
      <c r="Q126" s="2600"/>
      <c r="R126" s="2601"/>
      <c r="S126" s="2590" t="s">
        <v>605</v>
      </c>
      <c r="T126" s="2591"/>
      <c r="U126" s="2592"/>
      <c r="V126" s="15"/>
      <c r="W126" s="817"/>
      <c r="X126" s="817"/>
      <c r="Y126" s="817"/>
      <c r="Z126" s="817"/>
      <c r="AA126" s="817"/>
      <c r="AB126" s="818"/>
      <c r="AD126" s="10"/>
      <c r="AE126" s="10"/>
      <c r="AF126" s="10"/>
      <c r="AG126" s="1386" t="s">
        <v>604</v>
      </c>
      <c r="AH126" s="1386" t="s">
        <v>603</v>
      </c>
      <c r="AI126" s="1386" t="s">
        <v>605</v>
      </c>
      <c r="AJ126" s="2589" t="s">
        <v>604</v>
      </c>
      <c r="AK126" s="2589"/>
      <c r="AL126" s="2589" t="s">
        <v>603</v>
      </c>
      <c r="AM126" s="2589"/>
      <c r="AN126" s="2589" t="s">
        <v>605</v>
      </c>
      <c r="AO126" s="2589"/>
      <c r="AY126" s="734"/>
      <c r="AZ126" s="734"/>
      <c r="BA126" s="87"/>
      <c r="BB126" s="442"/>
      <c r="BC126" s="89"/>
      <c r="BD126" s="446"/>
      <c r="BE126" s="446"/>
      <c r="BF126" s="89"/>
      <c r="BG126" s="447"/>
      <c r="BH126" s="447"/>
      <c r="BI126" s="443"/>
    </row>
    <row r="127" spans="1:78" ht="34" x14ac:dyDescent="0.2">
      <c r="B127" s="1700"/>
      <c r="D127" s="79" t="s">
        <v>779</v>
      </c>
      <c r="E127" s="835" t="s">
        <v>778</v>
      </c>
      <c r="F127" s="26" t="s">
        <v>226</v>
      </c>
      <c r="G127" s="26" t="s">
        <v>22</v>
      </c>
      <c r="H127" s="26" t="s">
        <v>612</v>
      </c>
      <c r="I127" s="1348" t="s">
        <v>269</v>
      </c>
      <c r="J127" s="29" t="s">
        <v>270</v>
      </c>
      <c r="K127" s="29" t="s">
        <v>271</v>
      </c>
      <c r="L127" s="29" t="s">
        <v>363</v>
      </c>
      <c r="M127" s="29" t="s">
        <v>339</v>
      </c>
      <c r="N127" s="29" t="s">
        <v>340</v>
      </c>
      <c r="O127" s="1349" t="s">
        <v>341</v>
      </c>
      <c r="P127" s="1348" t="s">
        <v>269</v>
      </c>
      <c r="Q127" s="29" t="s">
        <v>270</v>
      </c>
      <c r="R127" s="1349" t="s">
        <v>271</v>
      </c>
      <c r="S127" s="1348" t="s">
        <v>269</v>
      </c>
      <c r="T127" s="29" t="s">
        <v>270</v>
      </c>
      <c r="U127" s="1349" t="s">
        <v>271</v>
      </c>
      <c r="V127" s="736"/>
      <c r="W127" s="827" t="s">
        <v>604</v>
      </c>
      <c r="X127" s="828" t="s">
        <v>754</v>
      </c>
      <c r="Y127" s="827" t="s">
        <v>603</v>
      </c>
      <c r="Z127" s="828" t="s">
        <v>755</v>
      </c>
      <c r="AA127" s="827" t="s">
        <v>605</v>
      </c>
      <c r="AB127" s="828" t="s">
        <v>756</v>
      </c>
      <c r="AD127" s="10"/>
      <c r="AE127" s="10"/>
      <c r="AF127" s="10"/>
      <c r="AG127" s="10"/>
      <c r="AH127" s="10"/>
      <c r="AI127" s="10"/>
      <c r="AJ127" s="1490" t="s">
        <v>1058</v>
      </c>
      <c r="AK127" s="1490" t="s">
        <v>1059</v>
      </c>
      <c r="AL127" s="1490" t="s">
        <v>1058</v>
      </c>
      <c r="AM127" s="1490" t="s">
        <v>1059</v>
      </c>
      <c r="AN127" s="1490" t="s">
        <v>1058</v>
      </c>
      <c r="AO127" s="1490" t="s">
        <v>1059</v>
      </c>
      <c r="AY127" s="734"/>
      <c r="AZ127" s="734"/>
      <c r="BA127" s="87"/>
      <c r="BB127" s="442"/>
      <c r="BC127" s="89"/>
      <c r="BD127" s="446"/>
      <c r="BE127" s="446"/>
      <c r="BF127" s="89"/>
      <c r="BG127" s="447"/>
      <c r="BH127" s="447"/>
      <c r="BI127" s="443"/>
    </row>
    <row r="128" spans="1:78" ht="48" x14ac:dyDescent="0.2">
      <c r="A128" t="str">
        <f>IF(Test_Bible!B175="","F","O")</f>
        <v>O</v>
      </c>
      <c r="B128" s="1531" t="str">
        <f>'Cpts AR +indép + Sommaire'!G18</f>
        <v>Altération ou dévoiement de la réalité</v>
      </c>
      <c r="C128" s="379" t="str">
        <f>'Cpts AR +indép + Sommaire'!C18</f>
        <v>PFA06</v>
      </c>
      <c r="D128" s="25" t="str">
        <f>'Cpts AR +indép + Sommaire'!D18</f>
        <v>L'autre parent modifie certains faits concernant votre passé à son avantage ou à votre désavantage.</v>
      </c>
      <c r="E128" s="78" t="s">
        <v>621</v>
      </c>
      <c r="F128" s="709">
        <f>'Cpts AR +indép + Sommaire'!E18</f>
        <v>7</v>
      </c>
      <c r="G128" s="709">
        <f>'Cpts AR +indép + Sommaire'!F18</f>
        <v>2</v>
      </c>
      <c r="H128" s="709">
        <f>F128*G128</f>
        <v>14</v>
      </c>
      <c r="I128" s="1350">
        <v>4</v>
      </c>
      <c r="J128" s="1343">
        <v>10</v>
      </c>
      <c r="K128" s="31" t="b">
        <f>IF(AND(F128&gt;=I128,F128&lt;=J128),TRUE,FALSE)</f>
        <v>1</v>
      </c>
      <c r="L128" s="31"/>
      <c r="M128" s="31"/>
      <c r="N128" s="31"/>
      <c r="O128" s="1351"/>
      <c r="P128" s="1350">
        <v>4</v>
      </c>
      <c r="Q128" s="1343">
        <v>7</v>
      </c>
      <c r="R128" s="1351" t="b">
        <f>IF(AND(F128&gt;=P128,F128&lt;=Q128),TRUE,FALSE)</f>
        <v>1</v>
      </c>
      <c r="S128" s="1374">
        <v>11</v>
      </c>
      <c r="T128" s="1375">
        <v>11</v>
      </c>
      <c r="U128" s="1351" t="b">
        <f>IF(AND(F128&gt;=S128,F128&lt;=T128),TRUE,FALSE)</f>
        <v>0</v>
      </c>
      <c r="V128" s="1327"/>
      <c r="W128" s="819"/>
      <c r="X128" s="820"/>
      <c r="Y128" s="819"/>
      <c r="Z128" s="820"/>
      <c r="AA128" s="819"/>
      <c r="AB128" s="820"/>
      <c r="AD128" s="10"/>
      <c r="AE128" s="10"/>
      <c r="AF128" s="10"/>
      <c r="AG128" s="832">
        <f>IF($K128=TRUE,H128,0)</f>
        <v>14</v>
      </c>
      <c r="AH128" s="832">
        <f>IF($R128=TRUE,H128,0)</f>
        <v>14</v>
      </c>
      <c r="AI128" s="832">
        <f>IF($U128=TRUE,H128,0)</f>
        <v>0</v>
      </c>
      <c r="AJ128" s="1490">
        <f t="shared" ref="AJ128:AJ129" si="185">IF(OR(I128=11,A128="F"),0,G128*I128)</f>
        <v>8</v>
      </c>
      <c r="AK128" s="1490">
        <f t="shared" ref="AK128:AK129" si="186">IF(OR(J128=11,A128="F"),0,G128*J128)</f>
        <v>20</v>
      </c>
      <c r="AL128" s="1490">
        <f t="shared" ref="AL128:AL129" si="187">IF(OR(P128=11,A128="F"),0,G128*P128)</f>
        <v>8</v>
      </c>
      <c r="AM128" s="1490">
        <f t="shared" ref="AM128:AM129" si="188">IF(OR(Q128=11,A128="F"),0,G128*Q128)</f>
        <v>14</v>
      </c>
      <c r="AN128" s="1490">
        <f t="shared" ref="AN128:AN129" si="189">IF(OR(S128=11,A128="F"),0,S128*G128)</f>
        <v>0</v>
      </c>
      <c r="AO128" s="1490">
        <f t="shared" ref="AO128:AO129" si="190">IF(OR(T128=11,A128="F"),0,T128*G128)</f>
        <v>0</v>
      </c>
      <c r="AY128" s="734"/>
      <c r="AZ128" s="734"/>
      <c r="BA128" s="87"/>
      <c r="BB128" s="442"/>
      <c r="BC128" s="89"/>
      <c r="BD128" s="446"/>
      <c r="BE128" s="446"/>
      <c r="BF128" s="89"/>
      <c r="BG128" s="447"/>
      <c r="BH128" s="447"/>
      <c r="BI128" s="443"/>
    </row>
    <row r="129" spans="1:78" ht="48" x14ac:dyDescent="0.2">
      <c r="A129" t="str">
        <f>IF(Test_Bible!B176="","F","O")</f>
        <v>O</v>
      </c>
      <c r="B129" s="1531" t="str">
        <f>'Cpts AR +indép + Sommaire'!G19</f>
        <v>Altération ou dévoiement de la réalité</v>
      </c>
      <c r="C129" s="379" t="str">
        <f>'Cpts AR +indép + Sommaire'!C19</f>
        <v>PFA06a</v>
      </c>
      <c r="D129" s="698" t="str">
        <f>'Cpts AR +indép + Sommaire'!D19</f>
        <v xml:space="preserve">L'autre parent déforme les souvenirs de votre enfant (ex.: souvenirs de la petite enfance vus aujourd'hui négativement). </v>
      </c>
      <c r="E129" s="78" t="s">
        <v>348</v>
      </c>
      <c r="F129" s="709">
        <f>'Cpts AR +indép + Sommaire'!E19</f>
        <v>7</v>
      </c>
      <c r="G129" s="709">
        <f>'Cpts AR +indép + Sommaire'!F19</f>
        <v>3</v>
      </c>
      <c r="H129" s="709">
        <f>F129*G129</f>
        <v>21</v>
      </c>
      <c r="I129" s="1350">
        <v>2</v>
      </c>
      <c r="J129" s="1343">
        <v>10</v>
      </c>
      <c r="K129" s="31" t="b">
        <f>IF(AND(F129&gt;=I129,F129&lt;=J129),TRUE,FALSE)</f>
        <v>1</v>
      </c>
      <c r="L129" s="31"/>
      <c r="M129" s="31"/>
      <c r="N129" s="31"/>
      <c r="O129" s="1351"/>
      <c r="P129" s="1374">
        <v>11</v>
      </c>
      <c r="Q129" s="1375">
        <v>11</v>
      </c>
      <c r="R129" s="1351" t="b">
        <f>IF(AND(F129&gt;=P129,F129&lt;=Q129),TRUE,FALSE)</f>
        <v>0</v>
      </c>
      <c r="S129" s="1374">
        <v>11</v>
      </c>
      <c r="T129" s="1375">
        <v>11</v>
      </c>
      <c r="U129" s="1351" t="b">
        <f>IF(AND(F129&gt;=S129,F129&lt;=T129),TRUE,FALSE)</f>
        <v>0</v>
      </c>
      <c r="V129" s="807"/>
      <c r="W129" s="821"/>
      <c r="X129" s="822"/>
      <c r="Y129" s="821"/>
      <c r="Z129" s="822"/>
      <c r="AA129" s="821"/>
      <c r="AB129" s="822"/>
      <c r="AD129" s="10"/>
      <c r="AE129" s="10"/>
      <c r="AF129" s="10"/>
      <c r="AG129" s="832">
        <f>IF($K129=TRUE,H129,0)</f>
        <v>21</v>
      </c>
      <c r="AH129" s="832">
        <f>IF($R129=TRUE,H129,0)</f>
        <v>0</v>
      </c>
      <c r="AI129" s="832">
        <f>IF($U129=TRUE,H129,0)</f>
        <v>0</v>
      </c>
      <c r="AJ129" s="1490">
        <f t="shared" si="185"/>
        <v>6</v>
      </c>
      <c r="AK129" s="1490">
        <f t="shared" si="186"/>
        <v>30</v>
      </c>
      <c r="AL129" s="1490">
        <f t="shared" si="187"/>
        <v>0</v>
      </c>
      <c r="AM129" s="1490">
        <f t="shared" si="188"/>
        <v>0</v>
      </c>
      <c r="AN129" s="1490">
        <f t="shared" si="189"/>
        <v>0</v>
      </c>
      <c r="AO129" s="1490">
        <f t="shared" si="190"/>
        <v>0</v>
      </c>
      <c r="AY129" s="734"/>
      <c r="AZ129" s="734"/>
      <c r="BA129" s="87"/>
      <c r="BB129" s="442"/>
      <c r="BC129" s="89"/>
      <c r="BD129" s="446"/>
      <c r="BE129" s="446"/>
      <c r="BF129" s="89"/>
      <c r="BG129" s="447"/>
      <c r="BH129" s="447"/>
      <c r="BI129" s="443"/>
    </row>
    <row r="130" spans="1:78" ht="34" x14ac:dyDescent="0.2">
      <c r="B130" s="1531"/>
      <c r="C130" s="710" t="s">
        <v>609</v>
      </c>
      <c r="D130" s="711" t="str">
        <f>_xlfn.XLOOKUP(H130,H128:H129,D128:D129)</f>
        <v xml:space="preserve">L'autre parent déforme les souvenirs de votre enfant (ex.: souvenirs de la petite enfance vus aujourd'hui négativement). </v>
      </c>
      <c r="E130" s="712" t="str">
        <f>_xlfn.XLOOKUP(H130,H128:H129,E128:E129)</f>
        <v>déforme les souvenirs</v>
      </c>
      <c r="F130" s="713"/>
      <c r="G130" s="713"/>
      <c r="H130" s="713">
        <f>IF(AND(K128=TRUE,K129=FALSE),H128,IF(AND(K128=FALSE,K129=TRUE),H129,MAX(H128,H129)))</f>
        <v>21</v>
      </c>
      <c r="I130" s="1352"/>
      <c r="J130" s="714"/>
      <c r="K130" s="715" t="b">
        <f>IF(AND(K128=FALSE,K129=FALSE),FALSE,TRUE)</f>
        <v>1</v>
      </c>
      <c r="L130" s="31"/>
      <c r="M130" s="31"/>
      <c r="N130" s="31"/>
      <c r="O130" s="1351"/>
      <c r="P130" s="1352"/>
      <c r="Q130" s="714"/>
      <c r="R130" s="1365" t="b">
        <f>IF(AND(R128=FALSE,R129=FALSE),FALSE,TRUE)</f>
        <v>1</v>
      </c>
      <c r="S130" s="1352"/>
      <c r="T130" s="714"/>
      <c r="U130" s="1365" t="b">
        <f>IF(AND(U128=FALSE,U129=FALSE),FALSE,TRUE)</f>
        <v>0</v>
      </c>
      <c r="V130" s="807"/>
      <c r="W130" s="821"/>
      <c r="X130" s="822"/>
      <c r="Y130" s="821"/>
      <c r="Z130" s="822"/>
      <c r="AA130" s="821"/>
      <c r="AB130" s="822"/>
      <c r="AD130" s="10"/>
      <c r="AE130" s="10"/>
      <c r="AF130" s="10"/>
      <c r="AG130" s="1740">
        <f>IF($K130=TRUE,MAX(AG128:AG129),0)</f>
        <v>21</v>
      </c>
      <c r="AH130" s="1740">
        <f>IF($R130=TRUE,MAX(AH128:AH129),0)</f>
        <v>14</v>
      </c>
      <c r="AI130" s="1740">
        <f>IF($U130=TRUE,MAX(AI128:AI129),0)</f>
        <v>0</v>
      </c>
      <c r="AJ130" s="1739">
        <f>MAX(AJ128:AJ129)</f>
        <v>8</v>
      </c>
      <c r="AK130" s="1739">
        <f t="shared" ref="AK130" si="191">MAX(AK128:AK129)</f>
        <v>30</v>
      </c>
      <c r="AL130" s="1739">
        <f t="shared" ref="AL130" si="192">MAX(AL128:AL129)</f>
        <v>8</v>
      </c>
      <c r="AM130" s="1739">
        <f t="shared" ref="AM130" si="193">MAX(AM128:AM129)</f>
        <v>14</v>
      </c>
      <c r="AN130" s="1739">
        <f t="shared" ref="AN130" si="194">MAX(AN128:AN129)</f>
        <v>0</v>
      </c>
      <c r="AO130" s="1739">
        <f t="shared" ref="AO130" si="195">MAX(AO128:AO129)</f>
        <v>0</v>
      </c>
      <c r="AY130" s="734"/>
      <c r="AZ130" s="734"/>
      <c r="BA130" s="87"/>
      <c r="BB130" s="442"/>
      <c r="BC130" s="89"/>
      <c r="BD130" s="446"/>
      <c r="BE130" s="446"/>
      <c r="BF130" s="89"/>
      <c r="BG130" s="447"/>
      <c r="BH130" s="447"/>
      <c r="BI130" s="443"/>
    </row>
    <row r="131" spans="1:78" ht="19" x14ac:dyDescent="0.2">
      <c r="B131" s="1700"/>
      <c r="C131" s="38"/>
      <c r="D131" s="25"/>
      <c r="E131" s="78"/>
      <c r="F131" s="709"/>
      <c r="G131" s="708"/>
      <c r="H131" s="709">
        <f>F131*G131</f>
        <v>0</v>
      </c>
      <c r="I131" s="1374">
        <v>11</v>
      </c>
      <c r="J131" s="1375">
        <v>11</v>
      </c>
      <c r="K131" s="31" t="b">
        <f>IF(AND(F131&gt;=I131,F131&lt;=J131),TRUE,FALSE)</f>
        <v>0</v>
      </c>
      <c r="L131" s="31"/>
      <c r="M131" s="31"/>
      <c r="N131" s="31"/>
      <c r="O131" s="1351"/>
      <c r="P131" s="1374">
        <v>11</v>
      </c>
      <c r="Q131" s="1375">
        <v>11</v>
      </c>
      <c r="R131" s="1351" t="b">
        <f>IF(AND(F131&gt;=P131,F131&lt;=Q131),TRUE,FALSE)</f>
        <v>0</v>
      </c>
      <c r="S131" s="1374">
        <v>11</v>
      </c>
      <c r="T131" s="1375">
        <v>11</v>
      </c>
      <c r="U131" s="1351" t="b">
        <f>IF(AND(F131&gt;=S131,F131&lt;=T131),TRUE,FALSE)</f>
        <v>0</v>
      </c>
      <c r="V131" s="807"/>
      <c r="W131" s="821"/>
      <c r="X131" s="822"/>
      <c r="Y131" s="821"/>
      <c r="Z131" s="822"/>
      <c r="AA131" s="821"/>
      <c r="AB131" s="822"/>
      <c r="AD131" s="10"/>
      <c r="AE131" s="10"/>
      <c r="AF131" s="10"/>
      <c r="AG131" s="832">
        <f>IF(K131=TRUE,H131,0)</f>
        <v>0</v>
      </c>
      <c r="AH131" s="832">
        <f>IF(R131=TRUE,H131,0)</f>
        <v>0</v>
      </c>
      <c r="AI131" s="832">
        <f>IF(U131=TRUE,H131,0)</f>
        <v>0</v>
      </c>
      <c r="AJ131" s="1490">
        <f t="shared" ref="AJ131:AJ132" si="196">IF(OR(I131=11,A131="F"),0,G131*I131)</f>
        <v>0</v>
      </c>
      <c r="AK131" s="1490">
        <f t="shared" ref="AK131:AK132" si="197">IF(OR(J131=11,A131="F"),0,G131*J131)</f>
        <v>0</v>
      </c>
      <c r="AL131" s="1490">
        <f t="shared" ref="AL131:AL132" si="198">IF(OR(P131=11,A131="F"),0,G131*P131)</f>
        <v>0</v>
      </c>
      <c r="AM131" s="1490">
        <f t="shared" ref="AM131:AM132" si="199">IF(OR(Q131=11,A131="F"),0,G131*Q131)</f>
        <v>0</v>
      </c>
      <c r="AN131" s="1490">
        <f t="shared" ref="AN131:AN132" si="200">IF(OR(S131=11,A131="F"),0,S131*G131)</f>
        <v>0</v>
      </c>
      <c r="AO131" s="1490">
        <f t="shared" ref="AO131:AO132" si="201">IF(OR(T131=11,A131="F"),0,T131*G131)</f>
        <v>0</v>
      </c>
      <c r="AY131" s="734"/>
      <c r="AZ131" s="734"/>
      <c r="BA131" s="87"/>
      <c r="BB131" s="442"/>
      <c r="BC131" s="89"/>
      <c r="BD131" s="446"/>
      <c r="BE131" s="446"/>
      <c r="BF131" s="89"/>
      <c r="BG131" s="447"/>
      <c r="BH131" s="447"/>
      <c r="BI131" s="443"/>
    </row>
    <row r="132" spans="1:78" ht="19" x14ac:dyDescent="0.2">
      <c r="B132" s="1700"/>
      <c r="C132" s="38"/>
      <c r="D132" s="25"/>
      <c r="E132" s="48"/>
      <c r="F132" s="27"/>
      <c r="G132" s="27"/>
      <c r="H132" s="27">
        <f>F132*G132</f>
        <v>0</v>
      </c>
      <c r="I132" s="1374">
        <v>11</v>
      </c>
      <c r="J132" s="1375">
        <v>11</v>
      </c>
      <c r="K132" s="31" t="b">
        <f>IF(AND(F132&gt;=I132,F132&lt;=J132),TRUE,FALSE)</f>
        <v>0</v>
      </c>
      <c r="L132" s="31"/>
      <c r="M132" s="31"/>
      <c r="N132" s="31"/>
      <c r="O132" s="1351"/>
      <c r="P132" s="1374">
        <v>11</v>
      </c>
      <c r="Q132" s="1375">
        <v>11</v>
      </c>
      <c r="R132" s="1351" t="b">
        <f>IF(AND(F132&gt;=P132,F132&lt;=Q132),TRUE,FALSE)</f>
        <v>0</v>
      </c>
      <c r="S132" s="1374">
        <v>11</v>
      </c>
      <c r="T132" s="1375">
        <v>11</v>
      </c>
      <c r="U132" s="1351" t="b">
        <f>IF(AND(F132&gt;=S132,F132&lt;=T132),TRUE,FALSE)</f>
        <v>0</v>
      </c>
      <c r="V132" s="807"/>
      <c r="W132" s="821"/>
      <c r="X132" s="822"/>
      <c r="Y132" s="821"/>
      <c r="Z132" s="822"/>
      <c r="AA132" s="821"/>
      <c r="AB132" s="822"/>
      <c r="AD132" s="10"/>
      <c r="AE132" s="10"/>
      <c r="AF132" s="10"/>
      <c r="AG132" s="832">
        <f>IF(K132=TRUE,H132,0)</f>
        <v>0</v>
      </c>
      <c r="AH132" s="832">
        <f>IF(R132=TRUE,H132,0)</f>
        <v>0</v>
      </c>
      <c r="AI132" s="832">
        <f>IF(U132=TRUE,H132,0)</f>
        <v>0</v>
      </c>
      <c r="AJ132" s="1490">
        <f t="shared" si="196"/>
        <v>0</v>
      </c>
      <c r="AK132" s="1490">
        <f t="shared" si="197"/>
        <v>0</v>
      </c>
      <c r="AL132" s="1490">
        <f t="shared" si="198"/>
        <v>0</v>
      </c>
      <c r="AM132" s="1490">
        <f t="shared" si="199"/>
        <v>0</v>
      </c>
      <c r="AN132" s="1490">
        <f t="shared" si="200"/>
        <v>0</v>
      </c>
      <c r="AO132" s="1490">
        <f t="shared" si="201"/>
        <v>0</v>
      </c>
      <c r="AY132" s="734"/>
      <c r="AZ132" s="734"/>
      <c r="BA132" s="87"/>
      <c r="BB132" s="442"/>
      <c r="BC132" s="89"/>
      <c r="BD132" s="446"/>
      <c r="BE132" s="446"/>
      <c r="BF132" s="89"/>
      <c r="BG132" s="447"/>
      <c r="BH132" s="447"/>
      <c r="BI132" s="443"/>
    </row>
    <row r="133" spans="1:78" ht="20" thickBot="1" x14ac:dyDescent="0.25">
      <c r="B133" s="1700"/>
      <c r="C133" s="716" t="s">
        <v>610</v>
      </c>
      <c r="D133" s="717">
        <f>_xlfn.XLOOKUP(H133,H131:H132,D131:D132)</f>
        <v>0</v>
      </c>
      <c r="E133" s="718">
        <f>_xlfn.XLOOKUP(H133,H131:H132,E131:E132)</f>
        <v>0</v>
      </c>
      <c r="F133" s="719"/>
      <c r="G133" s="719"/>
      <c r="H133" s="713">
        <f>IF(AND(K131=TRUE,K132=FALSE),H131,IF(AND(K131=FALSE,K132=TRUE),H132,MAX(H131,H132)))</f>
        <v>0</v>
      </c>
      <c r="I133" s="1353"/>
      <c r="J133" s="720"/>
      <c r="K133" s="721" t="b">
        <f>IF(AND(K131=FALSE,K132=FALSE),FALSE,TRUE)</f>
        <v>0</v>
      </c>
      <c r="L133" s="31"/>
      <c r="M133" s="31"/>
      <c r="N133" s="31"/>
      <c r="O133" s="1351"/>
      <c r="P133" s="1353"/>
      <c r="Q133" s="720"/>
      <c r="R133" s="1366" t="b">
        <f>IF(AND(R131=FALSE,R132=FALSE),FALSE,TRUE)</f>
        <v>0</v>
      </c>
      <c r="S133" s="1353"/>
      <c r="T133" s="720"/>
      <c r="U133" s="1366" t="b">
        <f>IF(AND(U131=FALSE,U132=FALSE),FALSE,TRUE)</f>
        <v>0</v>
      </c>
      <c r="V133" s="807"/>
      <c r="W133" s="821"/>
      <c r="X133" s="822"/>
      <c r="Y133" s="821"/>
      <c r="Z133" s="822"/>
      <c r="AA133" s="821"/>
      <c r="AB133" s="822"/>
      <c r="AD133" s="10"/>
      <c r="AE133" s="10"/>
      <c r="AF133" s="10"/>
      <c r="AG133" s="1740">
        <f>IF($K133=TRUE,MAX(AG131:AG132),0)</f>
        <v>0</v>
      </c>
      <c r="AH133" s="1740">
        <f>IF($R133=TRUE,MAX(AH131:AH132),0)</f>
        <v>0</v>
      </c>
      <c r="AI133" s="1740">
        <f>IF($U133=TRUE,MAX(AI131:AI132),0)</f>
        <v>0</v>
      </c>
      <c r="AJ133" s="1739">
        <f>MAX(AJ131:AJ132)</f>
        <v>0</v>
      </c>
      <c r="AK133" s="1739">
        <f t="shared" ref="AK133" si="202">MAX(AK131:AK132)</f>
        <v>0</v>
      </c>
      <c r="AL133" s="1739">
        <f t="shared" ref="AL133" si="203">MAX(AL131:AL132)</f>
        <v>0</v>
      </c>
      <c r="AM133" s="1739">
        <f t="shared" ref="AM133" si="204">MAX(AM131:AM132)</f>
        <v>0</v>
      </c>
      <c r="AN133" s="1739">
        <f t="shared" ref="AN133" si="205">MAX(AN131:AN132)</f>
        <v>0</v>
      </c>
      <c r="AO133" s="1739">
        <f t="shared" ref="AO133" si="206">MAX(AO131:AO132)</f>
        <v>0</v>
      </c>
      <c r="AV133" s="7"/>
      <c r="AX133" s="7"/>
      <c r="AY133" s="734"/>
      <c r="AZ133" s="734"/>
      <c r="BA133" s="87"/>
      <c r="BB133" s="442"/>
      <c r="BC133" s="89"/>
      <c r="BD133" s="446"/>
      <c r="BE133" s="446"/>
      <c r="BF133" s="89"/>
      <c r="BG133" s="447"/>
      <c r="BH133" s="447"/>
      <c r="BI133" s="443"/>
      <c r="BN133" s="25"/>
      <c r="BP133" s="7"/>
      <c r="BQ133" s="7"/>
      <c r="BR133" s="7"/>
      <c r="BS133" s="7"/>
      <c r="BT133" s="7"/>
      <c r="BU133" s="7"/>
      <c r="BV133" s="7"/>
      <c r="BW133" s="7"/>
      <c r="BX133" s="7"/>
      <c r="BY133" s="7"/>
      <c r="BZ133" s="7"/>
    </row>
    <row r="134" spans="1:78" ht="35" thickBot="1" x14ac:dyDescent="0.25">
      <c r="B134" s="1700"/>
      <c r="C134" s="722" t="s">
        <v>616</v>
      </c>
      <c r="D134" s="723"/>
      <c r="E134" s="723" t="str">
        <f>IF(H134=H130,E130,E133)</f>
        <v>déforme les souvenirs</v>
      </c>
      <c r="F134" s="724"/>
      <c r="G134" s="724"/>
      <c r="H134" s="724">
        <f>IF(AND(K130=TRUE,K133=FALSE),H130,IF(AND(K130=FALSE,K133=TRUE),H133,IF(AND(K130=TRUE,K133=TRUE),H130+H133,MAX(H130,H133))))</f>
        <v>21</v>
      </c>
      <c r="I134" s="1354"/>
      <c r="J134" s="725"/>
      <c r="K134" s="726" t="b">
        <f>IF(AND(K130=FALSE,K133=FALSE),FALSE,TRUE)</f>
        <v>1</v>
      </c>
      <c r="L134" s="1338"/>
      <c r="M134" s="1338"/>
      <c r="N134" s="1338"/>
      <c r="O134" s="1355"/>
      <c r="P134" s="1354"/>
      <c r="Q134" s="725"/>
      <c r="R134" s="726" t="b">
        <f>IF(AND(R130=FALSE,R133=FALSE),FALSE,TRUE)</f>
        <v>1</v>
      </c>
      <c r="S134" s="1354"/>
      <c r="T134" s="725"/>
      <c r="U134" s="726" t="b">
        <f>IF(AND(U130=FALSE,U133=FALSE),FALSE,TRUE)</f>
        <v>0</v>
      </c>
      <c r="V134" s="807"/>
      <c r="W134" s="821" t="str">
        <f>IF(K134=TRUE,"V","F")</f>
        <v>V</v>
      </c>
      <c r="X134" s="822"/>
      <c r="Y134" s="821" t="str">
        <f>IF(R134=TRUE,"V","F")</f>
        <v>V</v>
      </c>
      <c r="Z134" s="822"/>
      <c r="AA134" s="821" t="str">
        <f>IF(U134=TRUE,"V","F")</f>
        <v>F</v>
      </c>
      <c r="AB134" s="822"/>
      <c r="AC134" t="str">
        <f>IF(OR(W134="V",Y134="V"),IF(H133&gt;H130,"Le NC contribue plus que le coparent","Le coparent joue un plus grand rôle que le NC"),"pas de contexte significatif de la part du coparent et NC")</f>
        <v>Le coparent joue un plus grand rôle que le NC</v>
      </c>
      <c r="AD134" s="10"/>
      <c r="AE134" s="10"/>
      <c r="AF134" s="10"/>
      <c r="AG134" s="591">
        <f>IF(AND($K130=TRUE,$K133=FALSE),AG130,IF(AND($K130=FALSE,$K133=TRUE),AG133,IF(AND($K130=TRUE,$K133=TRUE),AG130+AG133,0)))</f>
        <v>21</v>
      </c>
      <c r="AH134" s="591">
        <f>IF(AND($R130=TRUE,$R133=FALSE),AH130,IF(AND($R130=FALSE,$R133=TRUE),AH133,IF(AND($R130=TRUE,$R133=TRUE),AH130+AH133,0)))</f>
        <v>14</v>
      </c>
      <c r="AI134" s="591">
        <f>IF(AND($U130=TRUE,$U133=FALSE),AI130,IF(AND($U130=FALSE,$U133=TRUE),AI133,IF(AND($U130=TRUE,$U133=TRUE),AI130+AI133,0)))</f>
        <v>0</v>
      </c>
      <c r="AJ134" s="591">
        <f>IF(AND($K130=TRUE,$K133=FALSE),AJ130,IF(AND($K130=FALSE,$K133=TRUE),AJ133,IF(AND($K130=TRUE,$K133=TRUE),AJ130+AJ133,MAX(AJ130,AJ133))))</f>
        <v>8</v>
      </c>
      <c r="AK134" s="591">
        <f>IF(AND($K130=TRUE,$K133=FALSE),AK130,IF(AND($K130=FALSE,$K133=TRUE),AK133,IF(AND($K130=TRUE,$K133=TRUE),AK130+AK133,MAX(AK130,AK133))))</f>
        <v>30</v>
      </c>
      <c r="AL134" s="591">
        <f t="shared" ref="AL134" si="207">IF(AND($R130=TRUE,$R133=FALSE),AL130,IF(AND($R130=FALSE,$R133=TRUE),AL133,IF(AND($R130=TRUE,$R133=TRUE),AL130+AL133,MAX(AL130,AL133))))</f>
        <v>8</v>
      </c>
      <c r="AM134" s="591">
        <f t="shared" ref="AM134" si="208">IF(AND($R130=TRUE,$R133=FALSE),AM130,IF(AND($R130=FALSE,$R133=TRUE),AM133,IF(AND($R130=TRUE,$R133=TRUE),AM130+AM133,MAX(AM130,AM133))))</f>
        <v>14</v>
      </c>
      <c r="AN134" s="591">
        <f t="shared" ref="AN134" si="209">IF(AND($U130=TRUE,$U133=FALSE),AN130,IF(AND($U130=FALSE,$U133=TRUE),AN133,IF(AND($U130=TRUE,$U133=TRUE),AN130+AN133,MAX(AN130,AN133))))</f>
        <v>0</v>
      </c>
      <c r="AO134" s="591">
        <f t="shared" ref="AO134" si="210">IF(AND($U130=TRUE,$U133=FALSE),AO130,IF(AND($U130=FALSE,$U133=TRUE),AO133,IF(AND($U130=TRUE,$U133=TRUE),AO130+AO133,MAX(AO130,AO133))))</f>
        <v>0</v>
      </c>
      <c r="AV134" s="7"/>
      <c r="AX134" s="7"/>
      <c r="AY134" s="734"/>
      <c r="AZ134" s="734"/>
      <c r="BA134" s="87"/>
      <c r="BB134" s="442"/>
      <c r="BC134" s="89"/>
      <c r="BD134" s="446"/>
      <c r="BE134" s="446"/>
      <c r="BF134" s="89"/>
      <c r="BG134" s="447"/>
      <c r="BH134" s="447"/>
      <c r="BI134" s="443"/>
      <c r="BN134" s="25"/>
      <c r="BP134" s="7"/>
      <c r="BQ134" s="7"/>
      <c r="BR134" s="7"/>
      <c r="BS134" s="7"/>
      <c r="BT134" s="7"/>
      <c r="BU134" s="7"/>
      <c r="BV134" s="7"/>
      <c r="BW134" s="7"/>
      <c r="BX134" s="7"/>
      <c r="BY134" s="7"/>
      <c r="BZ134" s="7"/>
    </row>
    <row r="135" spans="1:78" ht="51" x14ac:dyDescent="0.2">
      <c r="A135" t="str">
        <f>IF(Test_Bible!B305="","F","O")</f>
        <v>O</v>
      </c>
      <c r="B135" s="1700" t="str">
        <f>'Cpts AR +indép + Sommaire'!S18</f>
        <v>Interférence lien affectif ou symbolique</v>
      </c>
      <c r="C135" s="287" t="str">
        <f>'Cpts AR +indép + Sommaire'!O18</f>
        <v>E22a</v>
      </c>
      <c r="D135" s="25" t="str">
        <f>'Cpts AR +indép + Sommaire'!P18</f>
        <v>Dans quelle mesure les souvenirs de votre enfant vous semblent-ils être déformés ? (ex.: souvenirs de la petite enfance vus aujourd'hui différement)</v>
      </c>
      <c r="E135" s="78" t="s">
        <v>348</v>
      </c>
      <c r="F135" s="709">
        <f>'Cpts AR +indép + Sommaire'!Q18</f>
        <v>2</v>
      </c>
      <c r="G135" s="709">
        <f>'Cpts AR +indép + Sommaire'!R18</f>
        <v>3</v>
      </c>
      <c r="H135" s="709">
        <f>F135*G135</f>
        <v>6</v>
      </c>
      <c r="I135" s="1350">
        <v>2</v>
      </c>
      <c r="J135" s="1343">
        <v>10</v>
      </c>
      <c r="K135" s="31" t="b">
        <f>IF(AND(F135&gt;=I135,F135&lt;=J135),TRUE,FALSE)</f>
        <v>1</v>
      </c>
      <c r="L135" s="31"/>
      <c r="M135" s="31"/>
      <c r="N135" s="31"/>
      <c r="O135" s="1351"/>
      <c r="P135" s="1374">
        <v>11</v>
      </c>
      <c r="Q135" s="1375">
        <v>11</v>
      </c>
      <c r="R135" s="1351" t="b">
        <f>IF(AND(F135&gt;=P135,F135&lt;=Q135),TRUE,FALSE)</f>
        <v>0</v>
      </c>
      <c r="S135" s="1350"/>
      <c r="T135" s="1343"/>
      <c r="U135" s="1351"/>
      <c r="V135" s="807"/>
      <c r="W135" s="821" t="s">
        <v>753</v>
      </c>
      <c r="X135" s="822"/>
      <c r="Y135" s="821"/>
      <c r="Z135" s="822"/>
      <c r="AA135" s="821"/>
      <c r="AB135" s="822"/>
      <c r="AD135" s="10"/>
      <c r="AE135" s="10"/>
      <c r="AF135" s="10"/>
      <c r="AG135" s="832">
        <f>IF($K135=TRUE,H135,0)</f>
        <v>6</v>
      </c>
      <c r="AH135" s="832">
        <f>IF($R135=TRUE,H135,0)</f>
        <v>0</v>
      </c>
      <c r="AI135" s="832"/>
      <c r="AJ135" s="1490">
        <f t="shared" ref="AJ135:AJ136" si="211">IF(OR(I135=11,A135="F"),0,G135*I135)</f>
        <v>6</v>
      </c>
      <c r="AK135" s="1490">
        <f t="shared" ref="AK135:AK136" si="212">IF(OR(J135=11,A135="F"),0,G135*J135)</f>
        <v>30</v>
      </c>
      <c r="AL135" s="1490">
        <f t="shared" ref="AL135:AL136" si="213">IF(OR(P135=11,A135="F"),0,G135*P135)</f>
        <v>0</v>
      </c>
      <c r="AM135" s="1490">
        <f t="shared" ref="AM135:AM136" si="214">IF(OR(Q135=11,A135="F"),0,G135*Q135)</f>
        <v>0</v>
      </c>
      <c r="AN135" s="1490">
        <f t="shared" ref="AN135:AN136" si="215">IF(OR(S135=11,A135="F"),0,S135*G135)</f>
        <v>0</v>
      </c>
      <c r="AO135" s="1490">
        <f t="shared" ref="AO135:AO136" si="216">IF(OR(T135=11,A135="F"),0,T135*G135)</f>
        <v>0</v>
      </c>
      <c r="AV135" s="7"/>
      <c r="AX135" s="7"/>
      <c r="AY135" s="734"/>
      <c r="AZ135" s="734"/>
      <c r="BA135" s="87"/>
      <c r="BB135" s="442"/>
      <c r="BC135" s="89"/>
      <c r="BD135" s="446"/>
      <c r="BE135" s="446"/>
      <c r="BF135" s="89"/>
      <c r="BG135" s="447"/>
      <c r="BH135" s="447"/>
      <c r="BI135" s="443"/>
      <c r="BN135" s="25"/>
      <c r="BP135" s="7"/>
      <c r="BQ135" s="7"/>
      <c r="BR135" s="7"/>
      <c r="BS135" s="7"/>
      <c r="BT135" s="7"/>
      <c r="BU135" s="7"/>
      <c r="BV135" s="7"/>
      <c r="BW135" s="7"/>
      <c r="BX135" s="7"/>
      <c r="BY135" s="7"/>
      <c r="BZ135" s="7"/>
    </row>
    <row r="136" spans="1:78" ht="20" thickBot="1" x14ac:dyDescent="0.25">
      <c r="B136" s="1700"/>
      <c r="C136" s="287"/>
      <c r="D136" s="25"/>
      <c r="E136" s="78"/>
      <c r="F136" s="709"/>
      <c r="G136" s="708"/>
      <c r="H136" s="709">
        <f>F136*G136</f>
        <v>0</v>
      </c>
      <c r="I136" s="1374">
        <v>11</v>
      </c>
      <c r="J136" s="1375">
        <v>11</v>
      </c>
      <c r="K136" s="31" t="b">
        <f>IF(AND(F136&gt;=I136,F136&lt;=J136),TRUE,FALSE)</f>
        <v>0</v>
      </c>
      <c r="L136" s="31"/>
      <c r="M136" s="31"/>
      <c r="N136" s="31"/>
      <c r="O136" s="1351"/>
      <c r="P136" s="1374">
        <v>11</v>
      </c>
      <c r="Q136" s="1375">
        <v>11</v>
      </c>
      <c r="R136" s="1351" t="b">
        <f>IF(AND(F136&gt;=P136,F136&lt;=Q136),TRUE,FALSE)</f>
        <v>0</v>
      </c>
      <c r="S136" s="1374"/>
      <c r="T136" s="1375"/>
      <c r="U136" s="1351"/>
      <c r="V136" s="807"/>
      <c r="W136" s="821"/>
      <c r="X136" s="822"/>
      <c r="Y136" s="821"/>
      <c r="Z136" s="822"/>
      <c r="AA136" s="821"/>
      <c r="AB136" s="822"/>
      <c r="AD136" s="10"/>
      <c r="AE136" s="10"/>
      <c r="AF136" s="10"/>
      <c r="AG136" s="832">
        <f>IF($K136=TRUE,H136,0)</f>
        <v>0</v>
      </c>
      <c r="AH136" s="832">
        <f>IF($R136=TRUE,H136,0)</f>
        <v>0</v>
      </c>
      <c r="AI136" s="832"/>
      <c r="AJ136" s="1490">
        <f t="shared" si="211"/>
        <v>0</v>
      </c>
      <c r="AK136" s="1490">
        <f t="shared" si="212"/>
        <v>0</v>
      </c>
      <c r="AL136" s="1490">
        <f t="shared" si="213"/>
        <v>0</v>
      </c>
      <c r="AM136" s="1490">
        <f t="shared" si="214"/>
        <v>0</v>
      </c>
      <c r="AN136" s="1490">
        <f t="shared" si="215"/>
        <v>0</v>
      </c>
      <c r="AO136" s="1490">
        <f t="shared" si="216"/>
        <v>0</v>
      </c>
      <c r="AV136" s="7"/>
      <c r="AX136" s="7"/>
      <c r="AY136" s="734"/>
      <c r="AZ136" s="734"/>
      <c r="BA136" s="87"/>
      <c r="BB136" s="442"/>
      <c r="BC136" s="89"/>
      <c r="BD136" s="446"/>
      <c r="BE136" s="446"/>
      <c r="BF136" s="89"/>
      <c r="BG136" s="447"/>
      <c r="BH136" s="447"/>
      <c r="BI136" s="443"/>
      <c r="BN136" s="25"/>
      <c r="BP136" s="7"/>
      <c r="BQ136" s="7"/>
      <c r="BR136" s="7"/>
      <c r="BS136" s="7"/>
      <c r="BT136" s="7"/>
      <c r="BU136" s="7"/>
      <c r="BV136" s="7"/>
      <c r="BW136" s="7"/>
      <c r="BX136" s="7"/>
      <c r="BY136" s="7"/>
      <c r="BZ136" s="7"/>
    </row>
    <row r="137" spans="1:78" ht="52" thickBot="1" x14ac:dyDescent="0.25">
      <c r="B137" s="1700"/>
      <c r="C137" s="727" t="s">
        <v>611</v>
      </c>
      <c r="D137" s="728" t="str">
        <f>_xlfn.XLOOKUP(H137,H135:H136,D135:D136)</f>
        <v>Dans quelle mesure les souvenirs de votre enfant vous semblent-ils être déformés ? (ex.: souvenirs de la petite enfance vus aujourd'hui différement)</v>
      </c>
      <c r="E137" s="728" t="str">
        <f>_xlfn.XLOOKUP(H137,H135:H136,E135:E136)</f>
        <v>déforme les souvenirs</v>
      </c>
      <c r="F137" s="729"/>
      <c r="G137" s="729"/>
      <c r="H137" s="729">
        <f>IF(AND(K135=TRUE,K136=FALSE),H135,IF(AND(K135=FALSE,K136=TRUE),H136,MAX(H135,H136)))</f>
        <v>6</v>
      </c>
      <c r="I137" s="1356"/>
      <c r="J137" s="730"/>
      <c r="K137" s="731" t="b">
        <f>IF(AND(K135=FALSE,K136=FALSE),FALSE,TRUE)</f>
        <v>1</v>
      </c>
      <c r="L137" s="1339"/>
      <c r="M137" s="1339"/>
      <c r="N137" s="1339"/>
      <c r="O137" s="1357"/>
      <c r="P137" s="1356"/>
      <c r="Q137" s="730"/>
      <c r="R137" s="731" t="b">
        <f>IF(AND(R135=FALSE,R136=FALSE),FALSE,TRUE)</f>
        <v>0</v>
      </c>
      <c r="S137" s="1356"/>
      <c r="T137" s="730"/>
      <c r="U137" s="731"/>
      <c r="V137" s="807"/>
      <c r="W137" s="821" t="str">
        <f>IF(K137=TRUE,"V","F")</f>
        <v>V</v>
      </c>
      <c r="X137" s="822"/>
      <c r="Y137" s="821" t="str">
        <f>IF(R137=TRUE,"V","F")</f>
        <v>F</v>
      </c>
      <c r="Z137" s="822"/>
      <c r="AA137" s="821"/>
      <c r="AB137" s="822"/>
      <c r="AD137" s="10"/>
      <c r="AE137" s="10"/>
      <c r="AF137" s="10"/>
      <c r="AG137" s="1742">
        <f>IF(AND($K135=TRUE,$K136=FALSE),AG135,IF(AND($K135=FALSE,$K136=TRUE),AG136,IF(AND($K135=TRUE,$K136=TRUE),MAX(AG135,AG136),0)))</f>
        <v>6</v>
      </c>
      <c r="AH137" s="1742">
        <f>IF(AND($R135=TRUE,$R136=FALSE),AH135,IF(AND($R135=FALSE,$R136=TRUE),AH136,IF(AND($R135=TRUE,$R136=TRUE),MAX(AH135,AH136),0)))</f>
        <v>0</v>
      </c>
      <c r="AI137" s="1742"/>
      <c r="AJ137" s="1742">
        <f>IF(AND($K135=TRUE,$K136=FALSE),AJ135,IF(AND($K135=FALSE,$K136=TRUE),AJ136,IF(AND($K135=TRUE,$K136=TRUE),MAX(AJ135,AJ136),0)))</f>
        <v>6</v>
      </c>
      <c r="AK137" s="1742">
        <f>IF(AND($K135=TRUE,$K136=FALSE),AK135,IF(AND($K135=FALSE,$K136=TRUE),AK136,IF(AND($K135=TRUE,$K136=TRUE),MAX(AK135,AK136),0)))</f>
        <v>30</v>
      </c>
      <c r="AL137" s="1742">
        <f t="shared" ref="AL137" si="217">IF(AND($R135=TRUE,$R136=FALSE),AL135,IF(AND($R135=FALSE,$R136=TRUE),AL136,IF(AND($R135=TRUE,$R136=TRUE),MAX(AL135,AL136),0)))</f>
        <v>0</v>
      </c>
      <c r="AM137" s="1742">
        <f t="shared" ref="AM137" si="218">IF(AND($R135=TRUE,$R136=FALSE),AM135,IF(AND($R135=FALSE,$R136=TRUE),AM136,IF(AND($R135=TRUE,$R136=TRUE),MAX(AM135,AM136),0)))</f>
        <v>0</v>
      </c>
      <c r="AN137" s="1742"/>
      <c r="AO137" s="1742"/>
      <c r="AY137" s="734"/>
      <c r="AZ137" s="734"/>
      <c r="BA137" s="87"/>
      <c r="BB137" s="442"/>
      <c r="BC137" s="89"/>
      <c r="BD137" s="446"/>
      <c r="BE137" s="446"/>
      <c r="BF137" s="89"/>
      <c r="BG137" s="447"/>
      <c r="BH137" s="447"/>
      <c r="BI137" s="443"/>
    </row>
    <row r="138" spans="1:78" ht="19" x14ac:dyDescent="0.2">
      <c r="B138" s="1700"/>
      <c r="D138" s="386" t="s">
        <v>273</v>
      </c>
      <c r="E138" s="705"/>
      <c r="F138" s="439" t="s">
        <v>349</v>
      </c>
      <c r="G138" s="33"/>
      <c r="H138" s="33">
        <f>IF(AND(K134=TRUE,K137=FALSE),H134,IF(AND(K134=FALSE,K137=TRUE),H137,IF(AND(K134=TRUE,K137=TRUE),H134+H137,MAX(H134,H137))))</f>
        <v>27</v>
      </c>
      <c r="I138" s="1358"/>
      <c r="J138" s="440"/>
      <c r="K138" s="1341"/>
      <c r="L138" s="1342" t="str">
        <f>IF(AND(K137=TRUE,K134=TRUE),E137,"")</f>
        <v>déforme les souvenirs</v>
      </c>
      <c r="M138" s="1342" t="str">
        <f>IF(AND(K134=TRUE,K137=FALSE),"Bien que le parent "&amp;E134&amp;" l'enfant ne semble pas s'ingérer","")</f>
        <v/>
      </c>
      <c r="N138" s="1342" t="str">
        <f>IF(AND(K134=FALSE,K137=TRUE),E137&amp;" sans signe de la participation du parent favorisé et|ou nouveau conjoint.e","")</f>
        <v/>
      </c>
      <c r="O138" s="1359" t="str">
        <f>IF(AND(K134=FALSE,K137=FALSE),"aucun comportement significatif de cette nature","")</f>
        <v/>
      </c>
      <c r="P138" s="1358"/>
      <c r="Q138" s="440"/>
      <c r="R138" s="1367"/>
      <c r="S138" s="1358"/>
      <c r="T138" s="440"/>
      <c r="U138" s="1367"/>
      <c r="V138" s="145"/>
      <c r="W138" s="823"/>
      <c r="X138" s="824">
        <f>IF(AND(W134="V",W137="V"),2,IF(OR(W134="V",W137="V"),1,0))</f>
        <v>2</v>
      </c>
      <c r="Y138" s="823"/>
      <c r="Z138" s="824">
        <f>IF(OR(Y134="V",Y137="V"),1,0)</f>
        <v>1</v>
      </c>
      <c r="AA138" s="823"/>
      <c r="AB138" s="824"/>
      <c r="AD138" s="10"/>
      <c r="AE138" s="10"/>
      <c r="AF138" s="10"/>
      <c r="AG138" s="1738">
        <f>IF(AND($W134="V",$W137="F"),AG134,IF(AND($W134="F",$W137="V"),AG137,IF(AND($W134="V",$W137="V"),AG134+AG137,0)))</f>
        <v>27</v>
      </c>
      <c r="AH138" s="1738">
        <f>IF(AND($Y134="V",$Y137="F"),AH134,IF(AND($Y134="F",$Y137="V"),AH137,IF(AND($Y134="V",$Y137="V"),AH134+AH137,0)))</f>
        <v>14</v>
      </c>
      <c r="AI138" s="1738"/>
      <c r="AJ138" s="1738">
        <f>IF(AND($W134="V",$W137="F"),AJ134,IF(AND($W134="F",$W137="V"),AJ137,IF(AND($W134="V",$W137="V"),AJ134+AJ137,0)))</f>
        <v>14</v>
      </c>
      <c r="AK138" s="1738">
        <f>IF(AND($W134="V",$W137="F"),AK134,IF(AND($W134="F",$W137="V"),AK137,IF(AND($W134="V",$W137="V"),AK134+AK137,0)))</f>
        <v>60</v>
      </c>
      <c r="AL138" s="1738">
        <f>IF(AND($Y134="V",$Y137="F"),AL134,IF(AND($Y134="F",$Y137="V"),AL137,IF(AND($Y134="V",$Y137="V"),AL134+AL137,0)))</f>
        <v>8</v>
      </c>
      <c r="AM138" s="1738">
        <f>IF(AND($Y134="V",$Y137="F"),AM134,IF(AND($Y134="F",$Y137="V"),AM137,IF(AND($Y134="V",$Y137="V"),AM134+AM137,0)))</f>
        <v>14</v>
      </c>
      <c r="AN138" s="1738"/>
      <c r="AO138" s="1738"/>
      <c r="AY138" s="734"/>
      <c r="AZ138" s="734"/>
      <c r="BA138" s="87"/>
      <c r="BB138" s="442"/>
      <c r="BC138" s="89"/>
      <c r="BD138" s="446"/>
      <c r="BE138" s="446"/>
      <c r="BF138" s="89"/>
      <c r="BG138" s="447"/>
      <c r="BH138" s="447"/>
      <c r="BI138" s="443"/>
    </row>
    <row r="139" spans="1:78" ht="19" x14ac:dyDescent="0.2">
      <c r="B139" s="1700"/>
      <c r="C139" t="s">
        <v>238</v>
      </c>
      <c r="I139" s="122"/>
      <c r="L139" s="32"/>
      <c r="M139" s="32"/>
      <c r="N139" s="32"/>
      <c r="O139" s="1379"/>
      <c r="P139" s="122"/>
      <c r="R139" s="292"/>
      <c r="S139" s="122"/>
      <c r="U139" s="292"/>
      <c r="V139" s="32"/>
      <c r="W139" s="821"/>
      <c r="X139" s="822"/>
      <c r="Y139" s="821"/>
      <c r="Z139" s="822"/>
      <c r="AA139" s="821"/>
      <c r="AB139" s="822"/>
      <c r="AD139" s="10"/>
      <c r="AE139" s="10"/>
      <c r="AF139" s="10"/>
      <c r="AG139" s="832"/>
      <c r="AH139" s="832"/>
      <c r="AI139" s="832"/>
      <c r="AJ139" s="1490"/>
      <c r="AK139" s="1490"/>
      <c r="AL139" s="1490"/>
      <c r="AM139" s="1490"/>
      <c r="AN139" s="1490"/>
      <c r="AO139" s="1490"/>
      <c r="AY139" s="734"/>
      <c r="AZ139" s="734"/>
      <c r="BA139" s="87"/>
      <c r="BB139" s="442"/>
      <c r="BC139" s="89"/>
      <c r="BD139" s="446"/>
      <c r="BE139" s="446"/>
      <c r="BF139" s="89"/>
      <c r="BG139" s="447"/>
      <c r="BH139" s="447"/>
      <c r="BI139" s="443"/>
    </row>
    <row r="140" spans="1:78" ht="19" x14ac:dyDescent="0.2">
      <c r="B140" s="1700"/>
      <c r="C140" s="825"/>
      <c r="D140" s="829"/>
      <c r="E140" s="826"/>
      <c r="F140" s="830"/>
      <c r="G140" s="830"/>
      <c r="H140" s="830">
        <f>F140*G140</f>
        <v>0</v>
      </c>
      <c r="I140" s="1374">
        <v>11</v>
      </c>
      <c r="J140" s="1375">
        <v>11</v>
      </c>
      <c r="K140" s="31" t="b">
        <f>IF(AND(F140&gt;=I140,F140&lt;=J140),TRUE,FALSE)</f>
        <v>0</v>
      </c>
      <c r="L140" s="26"/>
      <c r="M140" s="26"/>
      <c r="N140" s="26"/>
      <c r="O140" s="1360"/>
      <c r="P140" s="1374">
        <v>11</v>
      </c>
      <c r="Q140" s="1375">
        <v>11</v>
      </c>
      <c r="R140" s="1351" t="b">
        <f>IF(AND(F140&gt;=P140,F140&lt;=Q140),TRUE,FALSE)</f>
        <v>0</v>
      </c>
      <c r="S140" s="1374">
        <v>11</v>
      </c>
      <c r="T140" s="1375">
        <v>11</v>
      </c>
      <c r="U140" s="1351" t="b">
        <f>IF(AND(F140&gt;=S140,F140&lt;=T140),TRUE,FALSE)</f>
        <v>0</v>
      </c>
      <c r="V140" s="32"/>
      <c r="W140" s="821"/>
      <c r="X140" s="822"/>
      <c r="Y140" s="821"/>
      <c r="Z140" s="822"/>
      <c r="AA140" s="821"/>
      <c r="AB140" s="822"/>
      <c r="AD140" s="10"/>
      <c r="AE140" s="10"/>
      <c r="AF140" s="10"/>
      <c r="AG140" s="832">
        <f>IF($K140=TRUE,H140,0)</f>
        <v>0</v>
      </c>
      <c r="AH140" s="832">
        <f>IF($R140=TRUE,H140,0)</f>
        <v>0</v>
      </c>
      <c r="AI140" s="832">
        <f>IF($U140=TRUE,H140,0)</f>
        <v>0</v>
      </c>
      <c r="AJ140" s="1490">
        <f t="shared" ref="AJ140:AJ141" si="219">IF(OR(I140=11,A140="F"),0,G140*I140)</f>
        <v>0</v>
      </c>
      <c r="AK140" s="1490">
        <f t="shared" ref="AK140:AK141" si="220">IF(OR(J140=11,A140="F"),0,G140*J140)</f>
        <v>0</v>
      </c>
      <c r="AL140" s="1490">
        <f t="shared" ref="AL140:AL141" si="221">IF(OR(P140=11,A140="F"),0,G140*P140)</f>
        <v>0</v>
      </c>
      <c r="AM140" s="1490">
        <f t="shared" ref="AM140:AM141" si="222">IF(OR(Q140=11,A140="F"),0,G140*Q140)</f>
        <v>0</v>
      </c>
      <c r="AN140" s="1490">
        <f t="shared" ref="AN140:AN141" si="223">IF(OR(S140=11,A140="F"),0,S140*G140)</f>
        <v>0</v>
      </c>
      <c r="AO140" s="1490">
        <f t="shared" ref="AO140:AO141" si="224">IF(OR(T140=11,A140="F"),0,T140*G140)</f>
        <v>0</v>
      </c>
      <c r="AY140" s="734"/>
      <c r="AZ140" s="734"/>
      <c r="BA140" s="87"/>
      <c r="BB140" s="442"/>
      <c r="BC140" s="89"/>
      <c r="BD140" s="446"/>
      <c r="BE140" s="446"/>
      <c r="BF140" s="89"/>
      <c r="BG140" s="447"/>
      <c r="BH140" s="447"/>
      <c r="BI140" s="443"/>
    </row>
    <row r="141" spans="1:78" ht="20" thickBot="1" x14ac:dyDescent="0.25">
      <c r="B141" s="1700"/>
      <c r="C141" s="825"/>
      <c r="D141" s="829"/>
      <c r="E141" s="826"/>
      <c r="F141" s="830"/>
      <c r="G141" s="830"/>
      <c r="H141" s="830">
        <f>F141*G141</f>
        <v>0</v>
      </c>
      <c r="I141" s="1374">
        <v>11</v>
      </c>
      <c r="J141" s="1375">
        <v>11</v>
      </c>
      <c r="K141" s="31" t="b">
        <f>IF(AND(F141&gt;=I141,F141&lt;=J141),TRUE,FALSE)</f>
        <v>0</v>
      </c>
      <c r="L141" s="26"/>
      <c r="M141" s="26"/>
      <c r="N141" s="26"/>
      <c r="O141" s="1360"/>
      <c r="P141" s="1374">
        <v>11</v>
      </c>
      <c r="Q141" s="1375">
        <v>11</v>
      </c>
      <c r="R141" s="1351" t="b">
        <f>IF(AND(F141&gt;=P141,F141&lt;=Q141),TRUE,FALSE)</f>
        <v>0</v>
      </c>
      <c r="S141" s="1374">
        <v>11</v>
      </c>
      <c r="T141" s="1375">
        <v>11</v>
      </c>
      <c r="U141" s="1351" t="b">
        <f>IF(AND(F141&gt;=S141,F141&lt;=T141),TRUE,FALSE)</f>
        <v>0</v>
      </c>
      <c r="W141" s="821"/>
      <c r="X141" s="822"/>
      <c r="Y141" s="821"/>
      <c r="Z141" s="822"/>
      <c r="AA141" s="821"/>
      <c r="AB141" s="822"/>
      <c r="AD141" s="10"/>
      <c r="AE141" s="10"/>
      <c r="AF141" s="10"/>
      <c r="AG141" s="832">
        <f>IF($K141=TRUE,H141,0)</f>
        <v>0</v>
      </c>
      <c r="AH141" s="832">
        <f>IF($R141=TRUE,H141,0)</f>
        <v>0</v>
      </c>
      <c r="AI141" s="832">
        <f>IF($U141=TRUE,H141,0)</f>
        <v>0</v>
      </c>
      <c r="AJ141" s="1490">
        <f t="shared" si="219"/>
        <v>0</v>
      </c>
      <c r="AK141" s="1490">
        <f t="shared" si="220"/>
        <v>0</v>
      </c>
      <c r="AL141" s="1490">
        <f t="shared" si="221"/>
        <v>0</v>
      </c>
      <c r="AM141" s="1490">
        <f t="shared" si="222"/>
        <v>0</v>
      </c>
      <c r="AN141" s="1490">
        <f t="shared" si="223"/>
        <v>0</v>
      </c>
      <c r="AO141" s="1490">
        <f t="shared" si="224"/>
        <v>0</v>
      </c>
      <c r="AY141" s="734"/>
      <c r="AZ141" s="734"/>
      <c r="BA141" s="87"/>
      <c r="BB141" s="442"/>
      <c r="BC141" s="89"/>
      <c r="BD141" s="446"/>
      <c r="BE141" s="446"/>
      <c r="BF141" s="89"/>
      <c r="BG141" s="447"/>
      <c r="BH141" s="447"/>
      <c r="BI141" s="443"/>
    </row>
    <row r="142" spans="1:78" ht="27" thickBot="1" x14ac:dyDescent="0.35">
      <c r="D142" s="16"/>
      <c r="E142" s="16"/>
      <c r="F142" s="67"/>
      <c r="G142" s="438"/>
      <c r="H142" s="33">
        <f>IF(AND(K140=TRUE,K141=FALSE),H140,IF(AND(K140=FALSE,K141=TRUE),H141,MAX(H140,H141)))</f>
        <v>0</v>
      </c>
      <c r="I142" s="1371"/>
      <c r="J142" s="1372"/>
      <c r="K142" s="1378" t="b">
        <f>IF(AND(K140=FALSE,K141=FALSE),FALSE,TRUE)</f>
        <v>0</v>
      </c>
      <c r="L142" s="1361"/>
      <c r="M142" s="1362"/>
      <c r="N142" s="1362"/>
      <c r="O142" s="1363"/>
      <c r="P142" s="1371"/>
      <c r="Q142" s="1372"/>
      <c r="R142" s="1378" t="b">
        <f>IF(AND(R140=FALSE,R141=FALSE),FALSE,TRUE)</f>
        <v>0</v>
      </c>
      <c r="S142" s="1383"/>
      <c r="T142" s="1384"/>
      <c r="U142" s="1385" t="b">
        <f>IF(AND(U140=FALSE,U141=FALSE),FALSE,TRUE)</f>
        <v>0</v>
      </c>
      <c r="V142" s="145"/>
      <c r="W142" s="1315" t="str">
        <f>IF(K142=TRUE,"V","F")</f>
        <v>F</v>
      </c>
      <c r="X142" s="1316"/>
      <c r="Y142" s="1315" t="str">
        <f>IF(R142=TRUE,"V","F")</f>
        <v>F</v>
      </c>
      <c r="Z142" s="1316"/>
      <c r="AA142" s="1315" t="str">
        <f>IF(U142=TRUE,"V","F")</f>
        <v>F</v>
      </c>
      <c r="AB142" s="1316"/>
      <c r="AD142" s="10"/>
      <c r="AE142" s="10"/>
      <c r="AF142" s="10"/>
      <c r="AG142" s="1742">
        <f>IF(AND($K140=TRUE,$K141=FALSE),AG140,IF(AND($K140=FALSE,$K141=TRUE),AG141,MAX(AG140,AG141)))</f>
        <v>0</v>
      </c>
      <c r="AH142" s="1742">
        <f>IF(AND($R140=TRUE,$R141=FALSE),AH140,IF(AND($R140=FALSE,$R141=TRUE),AH141,MAX(AH140,AH141)))</f>
        <v>0</v>
      </c>
      <c r="AI142" s="1742">
        <f>IF(AND($U140=TRUE,$U141=FALSE),AI140,IF(AND($U140=FALSE,$U141=TRUE),AI141,MAX(AI140,AI141)))</f>
        <v>0</v>
      </c>
      <c r="AJ142" s="1742">
        <f>IF(AND($K140=TRUE,$K141=FALSE),AJ140,IF(AND($K140=FALSE,$K141=TRUE),AJ141,MAX(AJ140,AJ141)))</f>
        <v>0</v>
      </c>
      <c r="AK142" s="1742">
        <f>IF(AND($K140=TRUE,$K141=FALSE),AK140,IF(AND($K140=FALSE,$K141=TRUE),AK141,MAX(AK140,AK141)))</f>
        <v>0</v>
      </c>
      <c r="AL142" s="1742">
        <f>IF(AND($R140=TRUE,$R141=FALSE),AL140,IF(AND($R140=FALSE,$R141=TRUE),AL141,MAX(AL140,AL141)))</f>
        <v>0</v>
      </c>
      <c r="AM142" s="1742">
        <f>IF(AND($R140=TRUE,$R141=FALSE),AM140,IF(AND($R140=FALSE,$R141=TRUE),AM141,MAX(AM140,AM141)))</f>
        <v>0</v>
      </c>
      <c r="AN142" s="1742">
        <f>IF(AND($U140=TRUE,$U141=FALSE),AN140,IF(AND($U140=FALSE,$U141=TRUE),AN141,MAX(AN140,AN141)))</f>
        <v>0</v>
      </c>
      <c r="AO142" s="1742">
        <f>IF(AND($U140=TRUE,$U141=FALSE),AO140,IF(AND($U140=FALSE,$U141=TRUE),AO141,MAX(AO140,AO141)))</f>
        <v>0</v>
      </c>
      <c r="AY142" s="734"/>
      <c r="AZ142" s="734"/>
      <c r="BA142" s="87"/>
      <c r="BB142" s="442"/>
      <c r="BC142" s="89"/>
      <c r="BD142" s="446"/>
      <c r="BE142" s="446"/>
      <c r="BF142" s="89"/>
      <c r="BG142" s="447"/>
      <c r="BH142" s="447"/>
      <c r="BI142" s="443"/>
    </row>
    <row r="143" spans="1:78" ht="27" thickBot="1" x14ac:dyDescent="0.35">
      <c r="D143" s="16"/>
      <c r="E143" s="16"/>
      <c r="F143" s="67"/>
      <c r="G143" s="438"/>
      <c r="H143" s="438"/>
      <c r="I143" s="8"/>
      <c r="J143" s="8"/>
      <c r="K143" s="63"/>
      <c r="L143" s="145"/>
      <c r="M143" s="145"/>
      <c r="N143" s="145"/>
      <c r="O143" s="145"/>
      <c r="P143" s="145"/>
      <c r="Q143" s="145"/>
      <c r="R143" s="145"/>
      <c r="S143" s="145"/>
      <c r="T143" s="145"/>
      <c r="U143" s="145"/>
      <c r="V143" s="145"/>
      <c r="W143" s="1376"/>
      <c r="X143" s="1377">
        <f>IF(AND(W142="V",W134="V"),X138-1,X138)</f>
        <v>2</v>
      </c>
      <c r="Y143" s="1376"/>
      <c r="Z143" s="1377">
        <f>IF(OR(Y134="V",Y137="V",Y142="V"),1,0)</f>
        <v>1</v>
      </c>
      <c r="AA143" s="1376"/>
      <c r="AB143" s="1377">
        <f>IF(AA134="V",1,IF(AA142="V",1,0))</f>
        <v>0</v>
      </c>
      <c r="AD143" s="10">
        <f>X143</f>
        <v>2</v>
      </c>
      <c r="AE143" s="10">
        <f>Z143</f>
        <v>1</v>
      </c>
      <c r="AF143" s="10">
        <f>AB143</f>
        <v>0</v>
      </c>
      <c r="AG143" s="1741">
        <f>IF($W142="F",AG138,AG138+AG142)</f>
        <v>27</v>
      </c>
      <c r="AH143" s="1741">
        <f>IF($Y142="F",AH138,AH138+AH142)</f>
        <v>14</v>
      </c>
      <c r="AI143" s="1741">
        <f>IF(AND($AA134="V",$AA142="F"),AI134,IF(AND($AA134="F",$AA142="V"),AI142,IF(AND($AA134="V",$AA142="V"),AI134+AI142,0)))</f>
        <v>0</v>
      </c>
      <c r="AJ143" s="1741">
        <f>IF($W142="F",AJ138,AJ138+AJ142)</f>
        <v>14</v>
      </c>
      <c r="AK143" s="1741">
        <f t="shared" ref="AK143" si="225">IF($W142="F",AK138,AK138+AK142)</f>
        <v>60</v>
      </c>
      <c r="AL143" s="1741">
        <f t="shared" ref="AL143" si="226">IF($Y142="F",AL138,AL138+AL142)</f>
        <v>8</v>
      </c>
      <c r="AM143" s="1741">
        <f t="shared" ref="AM143" si="227">IF($Y142="F",AM138,AM138+AM142)</f>
        <v>14</v>
      </c>
      <c r="AN143" s="1741">
        <f t="shared" ref="AN143" si="228">IF(AND($AA134="V",$AA142="F"),AN134,IF(AND($AA134="F",$AA142="V"),AN142,IF(AND($AA134="V",$AA142="V"),AN134+AN142,0)))</f>
        <v>0</v>
      </c>
      <c r="AO143" s="1741">
        <f t="shared" ref="AO143" si="229">IF(AND($AA134="V",$AA142="F"),AO134,IF(AND($AA134="F",$AA142="V"),AO142,IF(AND($AA134="V",$AA142="V"),AO134+AO142,0)))</f>
        <v>0</v>
      </c>
      <c r="AY143" s="734"/>
      <c r="AZ143" s="734"/>
      <c r="BA143" s="87"/>
      <c r="BB143" s="442"/>
      <c r="BC143" s="89"/>
      <c r="BD143" s="446"/>
      <c r="BE143" s="446"/>
      <c r="BF143" s="89"/>
      <c r="BG143" s="447"/>
      <c r="BH143" s="447"/>
      <c r="BI143" s="443"/>
    </row>
    <row r="144" spans="1:78" x14ac:dyDescent="0.3">
      <c r="D144" s="16"/>
      <c r="E144" s="16"/>
      <c r="F144" s="67"/>
      <c r="G144" s="438"/>
      <c r="H144" s="438"/>
      <c r="I144" s="2609" t="s">
        <v>1090</v>
      </c>
      <c r="J144" s="2610"/>
      <c r="K144" s="2611"/>
      <c r="L144" s="2603"/>
      <c r="M144" s="2603"/>
      <c r="N144" s="2603"/>
      <c r="O144" s="1347"/>
      <c r="P144" s="2606" t="s">
        <v>1089</v>
      </c>
      <c r="Q144" s="2607"/>
      <c r="R144" s="2608"/>
      <c r="S144" s="1394" t="s">
        <v>1088</v>
      </c>
      <c r="T144" s="1346"/>
      <c r="U144" s="1347"/>
      <c r="V144" s="145"/>
      <c r="W144" s="1387"/>
      <c r="X144" s="1388"/>
      <c r="Y144" s="1231"/>
      <c r="Z144" s="1231"/>
      <c r="AA144" s="1231"/>
      <c r="AB144" s="1231"/>
      <c r="AD144" s="10"/>
      <c r="AE144" s="10"/>
      <c r="AF144" s="10"/>
      <c r="AY144" s="734"/>
      <c r="AZ144" s="734"/>
      <c r="BA144" s="87"/>
      <c r="BB144" s="442"/>
      <c r="BC144" s="89"/>
      <c r="BD144" s="446"/>
      <c r="BE144" s="446"/>
      <c r="BF144" s="89"/>
      <c r="BG144" s="447"/>
      <c r="BH144" s="447"/>
      <c r="BI144" s="443"/>
    </row>
    <row r="145" spans="1:78" x14ac:dyDescent="0.3">
      <c r="B145" s="1699">
        <v>6</v>
      </c>
      <c r="D145" s="441" t="str">
        <f>'Cpts AR +indép + Sommaire'!B21</f>
        <v>Culpabilise l'enfant de son amour envers vous</v>
      </c>
      <c r="E145" s="84"/>
      <c r="F145" s="50"/>
      <c r="G145" s="18"/>
      <c r="H145" s="18"/>
      <c r="I145" s="2595" t="s">
        <v>604</v>
      </c>
      <c r="J145" s="2596"/>
      <c r="K145" s="2596"/>
      <c r="L145" s="2597" t="s">
        <v>1086</v>
      </c>
      <c r="M145" s="2597"/>
      <c r="N145" s="2597"/>
      <c r="O145" s="2598"/>
      <c r="P145" s="2599" t="s">
        <v>603</v>
      </c>
      <c r="Q145" s="2600"/>
      <c r="R145" s="2601"/>
      <c r="S145" s="2590" t="s">
        <v>605</v>
      </c>
      <c r="T145" s="2591"/>
      <c r="U145" s="2592"/>
      <c r="V145" s="15"/>
      <c r="W145" s="817"/>
      <c r="X145" s="817"/>
      <c r="Y145" s="817"/>
      <c r="Z145" s="817"/>
      <c r="AA145" s="817"/>
      <c r="AB145" s="818"/>
      <c r="AD145" s="10"/>
      <c r="AE145" s="10"/>
      <c r="AF145" s="10"/>
      <c r="AY145" s="734"/>
      <c r="AZ145" s="734"/>
      <c r="BA145" s="87"/>
      <c r="BB145" s="442"/>
      <c r="BC145" s="89"/>
      <c r="BD145" s="446"/>
      <c r="BE145" s="446"/>
      <c r="BF145" s="89"/>
      <c r="BG145" s="447"/>
      <c r="BH145" s="447"/>
      <c r="BI145" s="443"/>
    </row>
    <row r="146" spans="1:78" ht="34" x14ac:dyDescent="0.2">
      <c r="B146" s="1700"/>
      <c r="D146" s="79" t="s">
        <v>779</v>
      </c>
      <c r="E146" s="835" t="s">
        <v>778</v>
      </c>
      <c r="F146" s="26" t="s">
        <v>226</v>
      </c>
      <c r="G146" s="26" t="s">
        <v>22</v>
      </c>
      <c r="H146" s="26" t="s">
        <v>612</v>
      </c>
      <c r="I146" s="1348" t="s">
        <v>269</v>
      </c>
      <c r="J146" s="29" t="s">
        <v>270</v>
      </c>
      <c r="K146" s="29" t="s">
        <v>271</v>
      </c>
      <c r="L146" s="29" t="s">
        <v>363</v>
      </c>
      <c r="M146" s="29" t="s">
        <v>339</v>
      </c>
      <c r="N146" s="29" t="s">
        <v>340</v>
      </c>
      <c r="O146" s="1349" t="s">
        <v>341</v>
      </c>
      <c r="P146" s="1348" t="s">
        <v>269</v>
      </c>
      <c r="Q146" s="29" t="s">
        <v>270</v>
      </c>
      <c r="R146" s="1349" t="s">
        <v>271</v>
      </c>
      <c r="S146" s="1348" t="s">
        <v>269</v>
      </c>
      <c r="T146" s="29" t="s">
        <v>270</v>
      </c>
      <c r="U146" s="1349" t="s">
        <v>271</v>
      </c>
      <c r="V146" s="736"/>
      <c r="W146" s="827" t="s">
        <v>604</v>
      </c>
      <c r="X146" s="828" t="s">
        <v>754</v>
      </c>
      <c r="Y146" s="827" t="s">
        <v>603</v>
      </c>
      <c r="Z146" s="828" t="s">
        <v>755</v>
      </c>
      <c r="AA146" s="827" t="s">
        <v>605</v>
      </c>
      <c r="AB146" s="828" t="s">
        <v>756</v>
      </c>
      <c r="AD146" s="10"/>
      <c r="AE146" s="10"/>
      <c r="AF146" s="10"/>
      <c r="AY146" s="734"/>
      <c r="AZ146" s="734"/>
      <c r="BA146" s="87"/>
      <c r="BB146" s="442"/>
      <c r="BC146" s="89"/>
      <c r="BD146" s="446"/>
      <c r="BE146" s="446"/>
      <c r="BF146" s="89"/>
      <c r="BG146" s="447"/>
      <c r="BH146" s="447"/>
      <c r="BI146" s="443"/>
    </row>
    <row r="147" spans="1:78" ht="34" x14ac:dyDescent="0.2">
      <c r="A147" t="str">
        <f>IF(Test_Bible!B177="","F","O")</f>
        <v>O</v>
      </c>
      <c r="B147" s="1531" t="str">
        <f>'Cpts AR +indép + Sommaire'!G21</f>
        <v>Chantage affectif, manipulation</v>
      </c>
      <c r="C147" s="379" t="str">
        <f>'Cpts AR +indép + Sommaire'!C21</f>
        <v>PFA07</v>
      </c>
      <c r="D147" s="25" t="str">
        <f>'Cpts AR +indép + Sommaire'!D21</f>
        <v>L’autre parent culpabilise votre enfant de sa relation ou de son amour pour vous.</v>
      </c>
      <c r="E147" s="78" t="s">
        <v>622</v>
      </c>
      <c r="F147" s="709">
        <f>'Cpts AR +indép + Sommaire'!E21</f>
        <v>7</v>
      </c>
      <c r="G147" s="709">
        <f>'Cpts AR +indép + Sommaire'!F21</f>
        <v>1</v>
      </c>
      <c r="H147" s="709">
        <f t="shared" ref="H147:H149" si="230">F147*G147</f>
        <v>7</v>
      </c>
      <c r="I147" s="1350">
        <v>4</v>
      </c>
      <c r="J147" s="1343">
        <v>10</v>
      </c>
      <c r="K147" s="31" t="b">
        <f>IF(AND(F147&gt;=I147,F147&lt;=J147),TRUE,FALSE)</f>
        <v>1</v>
      </c>
      <c r="L147" s="31"/>
      <c r="M147" s="31"/>
      <c r="N147" s="31"/>
      <c r="O147" s="1351"/>
      <c r="P147" s="1350">
        <v>2</v>
      </c>
      <c r="Q147" s="1343">
        <v>10</v>
      </c>
      <c r="R147" s="1351" t="b">
        <f>IF(AND(F147&gt;=P147,F147&lt;=Q147),TRUE,FALSE)</f>
        <v>1</v>
      </c>
      <c r="S147" s="1374">
        <v>11</v>
      </c>
      <c r="T147" s="1375">
        <v>11</v>
      </c>
      <c r="U147" s="1351" t="b">
        <f>IF(AND(F147&gt;=S147,F147&lt;=T147),TRUE,FALSE)</f>
        <v>0</v>
      </c>
      <c r="V147" s="1327"/>
      <c r="W147" s="819"/>
      <c r="X147" s="820"/>
      <c r="Y147" s="819"/>
      <c r="Z147" s="820"/>
      <c r="AA147" s="819"/>
      <c r="AB147" s="820"/>
      <c r="AD147" s="10"/>
      <c r="AE147" s="10"/>
      <c r="AF147" s="10"/>
      <c r="AG147" s="832">
        <f>IF($K147=TRUE,H147,0)</f>
        <v>7</v>
      </c>
      <c r="AH147" s="832">
        <f>IF($R147=TRUE,H147,0)</f>
        <v>7</v>
      </c>
      <c r="AI147" s="832">
        <f>IF($U147=TRUE,H147,0)</f>
        <v>0</v>
      </c>
      <c r="AJ147" s="1490">
        <f t="shared" ref="AJ147:AJ149" si="231">IF(OR(I147=11,A147="F"),0,G147*I147)</f>
        <v>4</v>
      </c>
      <c r="AK147" s="1490">
        <f t="shared" ref="AK147:AK149" si="232">IF(OR(J147=11,A147="F"),0,G147*J147)</f>
        <v>10</v>
      </c>
      <c r="AL147" s="1490">
        <f t="shared" ref="AL147:AL149" si="233">IF(OR(P147=11,A147="F"),0,G147*P147)</f>
        <v>2</v>
      </c>
      <c r="AM147" s="1490">
        <f t="shared" ref="AM147:AM149" si="234">IF(OR(Q147=11,A147="F"),0,G147*Q147)</f>
        <v>10</v>
      </c>
      <c r="AN147" s="1490">
        <f t="shared" ref="AN147:AN149" si="235">IF(OR(S147=11,A147="F"),0,S147*G147)</f>
        <v>0</v>
      </c>
      <c r="AO147" s="1490">
        <f t="shared" ref="AO147:AO149" si="236">IF(OR(T147=11,A147="F"),0,T147*G147)</f>
        <v>0</v>
      </c>
      <c r="AY147" s="734"/>
      <c r="AZ147" s="734"/>
      <c r="BA147" s="87"/>
      <c r="BB147" s="442"/>
      <c r="BC147" s="89"/>
      <c r="BD147" s="446"/>
      <c r="BE147" s="446"/>
      <c r="BF147" s="89"/>
      <c r="BG147" s="447"/>
      <c r="BH147" s="447"/>
      <c r="BI147" s="443"/>
    </row>
    <row r="148" spans="1:78" ht="51" x14ac:dyDescent="0.2">
      <c r="A148" t="str">
        <f>IF(Test_Bible!B178="","F","O")</f>
        <v>O</v>
      </c>
      <c r="B148" s="1531" t="str">
        <f>'Cpts AR +indép + Sommaire'!G22</f>
        <v>Chantage affectif, manipulation</v>
      </c>
      <c r="C148" s="379" t="str">
        <f>'Cpts AR +indép + Sommaire'!C22</f>
        <v>PFA07a</v>
      </c>
      <c r="D148" s="698" t="str">
        <f>'Cpts AR +indép + Sommaire'!D22</f>
        <v>Il arrive que l’autre parent boude votre enfant lorsqu'il est temps de rentrer chez vous (pour votre tour de garde).</v>
      </c>
      <c r="E148" s="78" t="s">
        <v>623</v>
      </c>
      <c r="F148" s="709">
        <f>'Cpts AR +indép + Sommaire'!E22</f>
        <v>2</v>
      </c>
      <c r="G148" s="709">
        <f>'Cpts AR +indép + Sommaire'!F22</f>
        <v>2</v>
      </c>
      <c r="H148" s="709">
        <f t="shared" si="230"/>
        <v>4</v>
      </c>
      <c r="I148" s="1350">
        <v>4</v>
      </c>
      <c r="J148" s="1343">
        <v>10</v>
      </c>
      <c r="K148" s="31" t="b">
        <f>IF(AND(F148&gt;=I148,F148&lt;=J148),TRUE,FALSE)</f>
        <v>0</v>
      </c>
      <c r="L148" s="31"/>
      <c r="M148" s="31"/>
      <c r="N148" s="31"/>
      <c r="O148" s="1351"/>
      <c r="P148" s="1350">
        <v>2</v>
      </c>
      <c r="Q148" s="1343">
        <v>10</v>
      </c>
      <c r="R148" s="1351" t="b">
        <f>IF(AND(F148&gt;=P148,F148&lt;=Q148),TRUE,FALSE)</f>
        <v>1</v>
      </c>
      <c r="S148" s="1374">
        <v>11</v>
      </c>
      <c r="T148" s="1375">
        <v>11</v>
      </c>
      <c r="U148" s="1351" t="b">
        <f>IF(AND(F148&gt;=S148,F148&lt;=T148),TRUE,FALSE)</f>
        <v>0</v>
      </c>
      <c r="V148" s="807"/>
      <c r="W148" s="821"/>
      <c r="X148" s="822"/>
      <c r="Y148" s="821"/>
      <c r="Z148" s="822"/>
      <c r="AA148" s="821"/>
      <c r="AB148" s="822"/>
      <c r="AD148" s="10"/>
      <c r="AE148" s="10"/>
      <c r="AF148" s="10"/>
      <c r="AG148" s="832">
        <f>IF($K148=TRUE,H148,0)</f>
        <v>0</v>
      </c>
      <c r="AH148" s="832">
        <f>IF($R148=TRUE,H148,0)</f>
        <v>4</v>
      </c>
      <c r="AI148" s="832">
        <f>IF($U148=TRUE,H148,0)</f>
        <v>0</v>
      </c>
      <c r="AJ148" s="1490">
        <f t="shared" si="231"/>
        <v>8</v>
      </c>
      <c r="AK148" s="1490">
        <f t="shared" si="232"/>
        <v>20</v>
      </c>
      <c r="AL148" s="1490">
        <f t="shared" si="233"/>
        <v>4</v>
      </c>
      <c r="AM148" s="1490">
        <f t="shared" si="234"/>
        <v>20</v>
      </c>
      <c r="AN148" s="1490">
        <f t="shared" si="235"/>
        <v>0</v>
      </c>
      <c r="AO148" s="1490">
        <f t="shared" si="236"/>
        <v>0</v>
      </c>
      <c r="AY148" s="734"/>
      <c r="AZ148" s="734"/>
      <c r="BA148" s="87"/>
      <c r="BB148" s="442"/>
      <c r="BC148" s="89"/>
      <c r="BD148" s="446"/>
      <c r="BE148" s="446"/>
      <c r="BF148" s="89"/>
      <c r="BG148" s="447"/>
      <c r="BH148" s="447"/>
      <c r="BI148" s="443"/>
    </row>
    <row r="149" spans="1:78" ht="34" x14ac:dyDescent="0.2">
      <c r="A149" t="str">
        <f>IF(Test_Bible!B179="","F","O")</f>
        <v>O</v>
      </c>
      <c r="B149" s="1531" t="str">
        <f>'Cpts AR +indép + Sommaire'!G23</f>
        <v>Chantage affectif, manipulation</v>
      </c>
      <c r="C149" s="379" t="str">
        <f>'Cpts AR +indép + Sommaire'!C23</f>
        <v>PFA07a1</v>
      </c>
      <c r="D149" s="698" t="str">
        <f>'Cpts AR +indép + Sommaire'!D23</f>
        <v xml:space="preserve">Il arrive à l’autre parent de se fâcher contre votre enfant lorsqu'il ou elle exprime de l'affection pour vous. </v>
      </c>
      <c r="E149" s="78" t="s">
        <v>624</v>
      </c>
      <c r="F149" s="709">
        <f>'Cpts AR +indép + Sommaire'!E23</f>
        <v>2</v>
      </c>
      <c r="G149" s="709">
        <f>'Cpts AR +indép + Sommaire'!F23</f>
        <v>3</v>
      </c>
      <c r="H149" s="709">
        <f t="shared" si="230"/>
        <v>6</v>
      </c>
      <c r="I149" s="1350">
        <v>2</v>
      </c>
      <c r="J149" s="1343">
        <v>10</v>
      </c>
      <c r="K149" s="31" t="b">
        <f>IF(AND(F149&gt;=I149,F149&lt;=J149),TRUE,FALSE)</f>
        <v>1</v>
      </c>
      <c r="L149" s="31"/>
      <c r="M149" s="31"/>
      <c r="N149" s="31"/>
      <c r="O149" s="1351"/>
      <c r="P149" s="1350">
        <v>2</v>
      </c>
      <c r="Q149" s="1343">
        <v>10</v>
      </c>
      <c r="R149" s="1351" t="b">
        <f>IF(AND(F149&gt;=P149,F149&lt;=Q149),TRUE,FALSE)</f>
        <v>1</v>
      </c>
      <c r="S149" s="1374">
        <v>11</v>
      </c>
      <c r="T149" s="1375">
        <v>11</v>
      </c>
      <c r="U149" s="1351" t="b">
        <f>IF(AND(F149&gt;=S149,F149&lt;=T149),TRUE,FALSE)</f>
        <v>0</v>
      </c>
      <c r="V149" s="807"/>
      <c r="W149" s="821"/>
      <c r="X149" s="822"/>
      <c r="Y149" s="821"/>
      <c r="Z149" s="822"/>
      <c r="AA149" s="821"/>
      <c r="AB149" s="822"/>
      <c r="AD149" s="10"/>
      <c r="AE149" s="10"/>
      <c r="AF149" s="10"/>
      <c r="AG149" s="832">
        <f>IF($K149=TRUE,H149,0)</f>
        <v>6</v>
      </c>
      <c r="AH149" s="832">
        <f>IF($R149=TRUE,H149,0)</f>
        <v>6</v>
      </c>
      <c r="AI149" s="832">
        <f>IF($U149=TRUE,H149,0)</f>
        <v>0</v>
      </c>
      <c r="AJ149" s="1490">
        <f t="shared" si="231"/>
        <v>6</v>
      </c>
      <c r="AK149" s="1490">
        <f t="shared" si="232"/>
        <v>30</v>
      </c>
      <c r="AL149" s="1490">
        <f t="shared" si="233"/>
        <v>6</v>
      </c>
      <c r="AM149" s="1490">
        <f t="shared" si="234"/>
        <v>30</v>
      </c>
      <c r="AN149" s="1490">
        <f t="shared" si="235"/>
        <v>0</v>
      </c>
      <c r="AO149" s="1490">
        <f t="shared" si="236"/>
        <v>0</v>
      </c>
      <c r="AY149" s="734"/>
      <c r="AZ149" s="734"/>
      <c r="BA149" s="87"/>
      <c r="BB149" s="442"/>
      <c r="BC149" s="89"/>
      <c r="BD149" s="446"/>
      <c r="BE149" s="446"/>
      <c r="BF149" s="89"/>
      <c r="BG149" s="447"/>
      <c r="BH149" s="447"/>
      <c r="BI149" s="443"/>
    </row>
    <row r="150" spans="1:78" ht="34" x14ac:dyDescent="0.2">
      <c r="B150" s="1700"/>
      <c r="C150" s="710" t="s">
        <v>609</v>
      </c>
      <c r="D150" s="711" t="str">
        <f>_xlfn.XLOOKUP(H150,H147:H149,D147:D149)</f>
        <v>L’autre parent culpabilise votre enfant de sa relation ou de son amour pour vous.</v>
      </c>
      <c r="E150" s="712" t="str">
        <f>_xlfn.XLOOKUP(H150,H147:H149,E147:E149)</f>
        <v>culpabilise l'enfant pour son amour pour vous</v>
      </c>
      <c r="F150" s="713"/>
      <c r="G150" s="713"/>
      <c r="H150" s="713">
        <f>IF(AND(K147=TRUE,K148=FALSE,K149=FALSE),H147,IF(AND(K147=FALSE,K148=TRUE,K149=FALSE),H148,IF(AND(K147=FALSE,K148=FALSE,K149=TRUE),H149,MAX(H147:H149))))</f>
        <v>7</v>
      </c>
      <c r="I150" s="714"/>
      <c r="J150" s="714"/>
      <c r="K150" s="715" t="b">
        <f>IF(AND(K147=FALSE,K148=FALSE,K149=FALSE),FALSE,TRUE)</f>
        <v>1</v>
      </c>
      <c r="L150" s="31"/>
      <c r="M150" s="31"/>
      <c r="N150" s="31"/>
      <c r="O150" s="1351"/>
      <c r="P150" s="1352"/>
      <c r="Q150" s="714"/>
      <c r="R150" s="715" t="b">
        <f>IF(AND(R147=FALSE,R148=FALSE,R149=FALSE),FALSE,TRUE)</f>
        <v>1</v>
      </c>
      <c r="S150" s="1352"/>
      <c r="T150" s="714"/>
      <c r="U150" s="715" t="b">
        <f>IF(AND(U147=FALSE,U148=FALSE,U149=FALSE),FALSE,TRUE)</f>
        <v>0</v>
      </c>
      <c r="V150" s="807"/>
      <c r="W150" s="821"/>
      <c r="X150" s="822"/>
      <c r="Y150" s="821"/>
      <c r="Z150" s="822"/>
      <c r="AA150" s="821"/>
      <c r="AB150" s="822"/>
      <c r="AD150" s="10"/>
      <c r="AE150" s="10"/>
      <c r="AF150" s="10"/>
      <c r="AG150" s="1740">
        <f>IF($K150=TRUE,MAX(AG147:AG149),0)</f>
        <v>7</v>
      </c>
      <c r="AH150" s="1740">
        <f>IF($R150=TRUE,MAX(AH147:AH149),0)</f>
        <v>7</v>
      </c>
      <c r="AI150" s="1740">
        <f>IF($U150=TRUE,MAX(AI147:AI149),0)</f>
        <v>0</v>
      </c>
      <c r="AJ150" s="1739">
        <f>MAX(AJ147:AJ149)</f>
        <v>8</v>
      </c>
      <c r="AK150" s="1739">
        <f t="shared" ref="AK150:AO150" si="237">MAX(AK147:AK149)</f>
        <v>30</v>
      </c>
      <c r="AL150" s="1739">
        <f t="shared" si="237"/>
        <v>6</v>
      </c>
      <c r="AM150" s="1739">
        <f t="shared" si="237"/>
        <v>30</v>
      </c>
      <c r="AN150" s="1739">
        <f>MAX(AN147:AN149)</f>
        <v>0</v>
      </c>
      <c r="AO150" s="1739">
        <f t="shared" si="237"/>
        <v>0</v>
      </c>
      <c r="AY150" s="734"/>
      <c r="AZ150" s="734"/>
      <c r="BA150" s="87"/>
      <c r="BB150" s="442"/>
      <c r="BC150" s="89"/>
      <c r="BD150" s="446"/>
      <c r="BE150" s="446"/>
      <c r="BF150" s="89"/>
      <c r="BG150" s="447"/>
      <c r="BH150" s="447"/>
      <c r="BI150" s="443"/>
    </row>
    <row r="151" spans="1:78" ht="19" x14ac:dyDescent="0.2">
      <c r="B151" s="1700"/>
      <c r="C151" s="38"/>
      <c r="D151" s="25"/>
      <c r="E151" s="78"/>
      <c r="F151" s="709"/>
      <c r="G151" s="708"/>
      <c r="H151" s="709">
        <f>F151*G151</f>
        <v>0</v>
      </c>
      <c r="I151" s="1374">
        <v>11</v>
      </c>
      <c r="J151" s="1375">
        <v>11</v>
      </c>
      <c r="K151" s="31" t="b">
        <f>IF(AND(F150&gt;=I151,F150&lt;=J151),TRUE,FALSE)</f>
        <v>0</v>
      </c>
      <c r="L151" s="31"/>
      <c r="M151" s="31"/>
      <c r="N151" s="31"/>
      <c r="O151" s="1351"/>
      <c r="P151" s="1374">
        <v>11</v>
      </c>
      <c r="Q151" s="1375">
        <v>11</v>
      </c>
      <c r="R151" s="1351" t="b">
        <f>IF(AND(F150&gt;=P151,F150&lt;=Q151),TRUE,FALSE)</f>
        <v>0</v>
      </c>
      <c r="S151" s="1374">
        <v>11</v>
      </c>
      <c r="T151" s="1375">
        <v>11</v>
      </c>
      <c r="U151" s="1351" t="b">
        <f>IF(AND(F150&gt;=S151,F150&lt;=T151),TRUE,FALSE)</f>
        <v>0</v>
      </c>
      <c r="V151" s="807"/>
      <c r="W151" s="821"/>
      <c r="X151" s="822"/>
      <c r="Y151" s="821"/>
      <c r="Z151" s="822"/>
      <c r="AA151" s="821"/>
      <c r="AB151" s="822"/>
      <c r="AD151" s="10"/>
      <c r="AE151" s="10"/>
      <c r="AF151" s="10"/>
      <c r="AG151" s="832">
        <f>IF(K151=TRUE,H151,0)</f>
        <v>0</v>
      </c>
      <c r="AH151" s="832">
        <f>IF(R151=TRUE,H151,0)</f>
        <v>0</v>
      </c>
      <c r="AI151" s="832">
        <f>IF(U151=TRUE,H151,0)</f>
        <v>0</v>
      </c>
      <c r="AJ151" s="1490">
        <f t="shared" ref="AJ151:AJ152" si="238">IF(OR(I151=11,A151="F"),0,G151*I151)</f>
        <v>0</v>
      </c>
      <c r="AK151" s="1490">
        <f t="shared" ref="AK151:AK152" si="239">IF(OR(J151=11,A151="F"),0,G151*J151)</f>
        <v>0</v>
      </c>
      <c r="AL151" s="1490">
        <f t="shared" ref="AL151:AL152" si="240">IF(OR(P151=11,A151="F"),0,G151*P151)</f>
        <v>0</v>
      </c>
      <c r="AM151" s="1490">
        <f t="shared" ref="AM151:AM152" si="241">IF(OR(Q151=11,A151="F"),0,G151*Q151)</f>
        <v>0</v>
      </c>
      <c r="AN151" s="1490">
        <f t="shared" ref="AN151:AN152" si="242">IF(OR(S151=11,A151="F"),0,S151*G151)</f>
        <v>0</v>
      </c>
      <c r="AO151" s="1490">
        <f t="shared" ref="AO151:AO152" si="243">IF(OR(T151=11,A151="F"),0,T151*G151)</f>
        <v>0</v>
      </c>
      <c r="AY151" s="734"/>
      <c r="AZ151" s="734"/>
      <c r="BA151" s="87"/>
      <c r="BB151" s="442"/>
      <c r="BC151" s="89"/>
      <c r="BD151" s="446"/>
      <c r="BE151" s="446"/>
      <c r="BF151" s="89"/>
      <c r="BG151" s="447"/>
      <c r="BH151" s="447"/>
      <c r="BI151" s="443"/>
    </row>
    <row r="152" spans="1:78" ht="19" x14ac:dyDescent="0.2">
      <c r="B152" s="1700"/>
      <c r="C152" s="38"/>
      <c r="D152" s="25"/>
      <c r="E152" s="48"/>
      <c r="F152" s="27"/>
      <c r="G152" s="27"/>
      <c r="H152" s="27">
        <f>F152*G152</f>
        <v>0</v>
      </c>
      <c r="I152" s="1374">
        <v>11</v>
      </c>
      <c r="J152" s="1375">
        <v>11</v>
      </c>
      <c r="K152" s="31" t="b">
        <f>IF(AND(F151&gt;=I152,F151&lt;=J152),TRUE,FALSE)</f>
        <v>0</v>
      </c>
      <c r="L152" s="31"/>
      <c r="M152" s="31"/>
      <c r="N152" s="31"/>
      <c r="O152" s="1351"/>
      <c r="P152" s="1374">
        <v>11</v>
      </c>
      <c r="Q152" s="1375">
        <v>11</v>
      </c>
      <c r="R152" s="1351" t="b">
        <f>IF(AND(F151&gt;=P152,F151&lt;=Q152),TRUE,FALSE)</f>
        <v>0</v>
      </c>
      <c r="S152" s="1374">
        <v>11</v>
      </c>
      <c r="T152" s="1375">
        <v>11</v>
      </c>
      <c r="U152" s="1351" t="b">
        <f>IF(AND(F151&gt;=S152,F151&lt;=T152),TRUE,FALSE)</f>
        <v>0</v>
      </c>
      <c r="V152" s="807"/>
      <c r="W152" s="821"/>
      <c r="X152" s="822"/>
      <c r="Y152" s="821"/>
      <c r="Z152" s="822"/>
      <c r="AA152" s="821"/>
      <c r="AB152" s="822"/>
      <c r="AD152" s="10"/>
      <c r="AE152" s="10"/>
      <c r="AF152" s="10"/>
      <c r="AG152" s="832">
        <f>IF(K152=TRUE,H152,0)</f>
        <v>0</v>
      </c>
      <c r="AH152" s="832">
        <f>IF(R152=TRUE,H152,0)</f>
        <v>0</v>
      </c>
      <c r="AI152" s="832">
        <f>IF(U152=TRUE,H152,0)</f>
        <v>0</v>
      </c>
      <c r="AJ152" s="1490">
        <f t="shared" si="238"/>
        <v>0</v>
      </c>
      <c r="AK152" s="1490">
        <f t="shared" si="239"/>
        <v>0</v>
      </c>
      <c r="AL152" s="1490">
        <f t="shared" si="240"/>
        <v>0</v>
      </c>
      <c r="AM152" s="1490">
        <f t="shared" si="241"/>
        <v>0</v>
      </c>
      <c r="AN152" s="1490">
        <f t="shared" si="242"/>
        <v>0</v>
      </c>
      <c r="AO152" s="1490">
        <f t="shared" si="243"/>
        <v>0</v>
      </c>
      <c r="AV152" s="734"/>
      <c r="AX152" s="734"/>
      <c r="AY152" s="87"/>
      <c r="AZ152" s="87"/>
      <c r="BA152" s="442"/>
      <c r="BB152" s="89"/>
      <c r="BC152" s="446"/>
      <c r="BD152" s="89"/>
      <c r="BE152" s="89"/>
      <c r="BF152" s="447"/>
      <c r="BG152" s="443"/>
      <c r="BH152" s="443"/>
      <c r="BL152" s="734"/>
      <c r="BM152" s="734"/>
      <c r="BN152" s="734"/>
      <c r="BO152" s="734"/>
      <c r="BP152" s="734"/>
      <c r="BQ152" s="734"/>
      <c r="BR152" s="734"/>
      <c r="BS152" s="734"/>
      <c r="BT152" s="734"/>
      <c r="BU152" s="734"/>
      <c r="BV152" s="734"/>
      <c r="BW152" s="734"/>
      <c r="BX152" s="734"/>
      <c r="BY152" s="734"/>
      <c r="BZ152" s="734"/>
    </row>
    <row r="153" spans="1:78" ht="20" thickBot="1" x14ac:dyDescent="0.25">
      <c r="B153" s="1700"/>
      <c r="C153" s="716" t="s">
        <v>610</v>
      </c>
      <c r="D153" s="717">
        <f>_xlfn.XLOOKUP(H153,H151:H152,D151:D152)</f>
        <v>0</v>
      </c>
      <c r="E153" s="718">
        <f>_xlfn.XLOOKUP(H153,H151:H152,E151:E152)</f>
        <v>0</v>
      </c>
      <c r="F153" s="719"/>
      <c r="G153" s="719"/>
      <c r="H153" s="713">
        <f>IF(AND(K151=TRUE,K152=FALSE),H151,IF(AND(K151=FALSE,K152=TRUE),H152,IF(AND(K151=TRUE,K152=TRUE),H151+H152,MAX(H151,H152))))</f>
        <v>0</v>
      </c>
      <c r="I153" s="1353"/>
      <c r="J153" s="720"/>
      <c r="K153" s="721" t="b">
        <f>IF(AND(K151=FALSE,K152=FALSE),FALSE,TRUE)</f>
        <v>0</v>
      </c>
      <c r="L153" s="31"/>
      <c r="M153" s="31"/>
      <c r="N153" s="31"/>
      <c r="O153" s="1351"/>
      <c r="P153" s="1353"/>
      <c r="Q153" s="720"/>
      <c r="R153" s="1366" t="b">
        <f>IF(AND(R151=FALSE,R152=FALSE),FALSE,TRUE)</f>
        <v>0</v>
      </c>
      <c r="S153" s="1353"/>
      <c r="T153" s="720"/>
      <c r="U153" s="1366" t="b">
        <f>IF(AND(U151=FALSE,U152=FALSE),FALSE,TRUE)</f>
        <v>0</v>
      </c>
      <c r="V153" s="807"/>
      <c r="W153" s="821"/>
      <c r="X153" s="822"/>
      <c r="Y153" s="821"/>
      <c r="Z153" s="822"/>
      <c r="AA153" s="821"/>
      <c r="AB153" s="822"/>
      <c r="AC153" t="str">
        <f>IF(OR(W153="V",Y153="V"),IF(H152&gt;H149,"Le NC contribue plus que le coparent","Le coparent joue un plus grand rôle que le NC"),"pas de contexte significatif de la part du coparent et NC")</f>
        <v>pas de contexte significatif de la part du coparent et NC</v>
      </c>
      <c r="AD153" s="10"/>
      <c r="AE153" s="10"/>
      <c r="AF153" s="10"/>
      <c r="AG153" s="1740">
        <f>IF($K153=TRUE,MAX(AG151:AG152),0)</f>
        <v>0</v>
      </c>
      <c r="AH153" s="1740">
        <f>IF($R153=TRUE,MAX(AH151:AH152),0)</f>
        <v>0</v>
      </c>
      <c r="AI153" s="1740">
        <f>IF($U153=TRUE,MAX(AI151:AI152),0)</f>
        <v>0</v>
      </c>
      <c r="AJ153" s="1739">
        <f>MAX(AJ151:AJ152)</f>
        <v>0</v>
      </c>
      <c r="AK153" s="1739">
        <f t="shared" ref="AK153" si="244">MAX(AK151:AK152)</f>
        <v>0</v>
      </c>
      <c r="AL153" s="1739">
        <f>MAX(AL151:AL152)</f>
        <v>0</v>
      </c>
      <c r="AM153" s="1739">
        <f t="shared" ref="AM153" si="245">MAX(AM151:AM152)</f>
        <v>0</v>
      </c>
      <c r="AN153" s="1739">
        <f t="shared" ref="AN153" si="246">MAX(AN151:AN152)</f>
        <v>0</v>
      </c>
      <c r="AO153" s="1739">
        <f t="shared" ref="AO153" si="247">MAX(AO151:AO152)</f>
        <v>0</v>
      </c>
      <c r="AV153" s="734"/>
      <c r="AX153" s="734"/>
      <c r="AY153" s="87"/>
      <c r="AZ153" s="87"/>
      <c r="BA153" s="442"/>
      <c r="BB153" s="89"/>
      <c r="BC153" s="446"/>
      <c r="BD153" s="89"/>
      <c r="BE153" s="89"/>
      <c r="BF153" s="447"/>
      <c r="BG153" s="443"/>
      <c r="BH153" s="443"/>
      <c r="BL153" s="734"/>
      <c r="BM153" s="734"/>
      <c r="BN153" s="734"/>
      <c r="BO153" s="734"/>
      <c r="BP153" s="734"/>
      <c r="BQ153" s="734"/>
      <c r="BR153" s="734"/>
      <c r="BS153" s="734"/>
      <c r="BT153" s="734"/>
      <c r="BU153" s="734"/>
      <c r="BV153" s="734"/>
      <c r="BW153" s="734"/>
      <c r="BX153" s="734"/>
      <c r="BY153" s="734"/>
      <c r="BZ153" s="734"/>
    </row>
    <row r="154" spans="1:78" ht="35" thickBot="1" x14ac:dyDescent="0.25">
      <c r="B154" s="1700"/>
      <c r="C154" s="722" t="s">
        <v>616</v>
      </c>
      <c r="D154" s="723"/>
      <c r="E154" s="723" t="str">
        <f>IF(H154=H150,E150,E153)</f>
        <v>culpabilise l'enfant pour son amour pour vous</v>
      </c>
      <c r="F154" s="724"/>
      <c r="G154" s="724"/>
      <c r="H154" s="724">
        <f>IF(AND(K150=TRUE,K153=FALSE),H150,IF(AND(K150=FALSE,K153=TRUE),H153,IF(AND(K150=TRUE,K153=TRUE),H150+H153,MAX(H150,H153))))</f>
        <v>7</v>
      </c>
      <c r="I154" s="1354"/>
      <c r="J154" s="725"/>
      <c r="K154" s="726" t="b">
        <f>IF(AND(K150=FALSE,K153=FALSE),FALSE,TRUE)</f>
        <v>1</v>
      </c>
      <c r="L154" s="1338"/>
      <c r="M154" s="1338"/>
      <c r="N154" s="1338"/>
      <c r="O154" s="1355"/>
      <c r="P154" s="1354"/>
      <c r="Q154" s="725"/>
      <c r="R154" s="726" t="b">
        <f>IF(AND(R150=FALSE,R153=FALSE),FALSE,TRUE)</f>
        <v>1</v>
      </c>
      <c r="S154" s="1354"/>
      <c r="T154" s="725"/>
      <c r="U154" s="726" t="b">
        <f>IF(AND(U150=FALSE,U153=FALSE),FALSE,TRUE)</f>
        <v>0</v>
      </c>
      <c r="V154" s="807"/>
      <c r="W154" s="821" t="str">
        <f>IF(K154=TRUE,"V","F")</f>
        <v>V</v>
      </c>
      <c r="X154" s="822"/>
      <c r="Y154" s="821" t="str">
        <f>IF(R154=TRUE,"V","F")</f>
        <v>V</v>
      </c>
      <c r="Z154" s="822"/>
      <c r="AA154" s="821" t="str">
        <f>IF(U154=TRUE,"V","F")</f>
        <v>F</v>
      </c>
      <c r="AB154" s="822"/>
      <c r="AD154" s="10"/>
      <c r="AE154" s="10"/>
      <c r="AF154" s="10"/>
      <c r="AG154" s="591">
        <f>IF(AND($K150=TRUE,$K153=FALSE),AG150,IF(AND($K150=FALSE,$K153=TRUE),AG153,IF(AND($K150=TRUE,$K153=TRUE),AG150+AG153,0)))</f>
        <v>7</v>
      </c>
      <c r="AH154" s="591">
        <f>IF(AND($R150=TRUE,$R153=FALSE),AH150,IF(AND($R150=FALSE,$R153=TRUE),AH153,IF(AND($R150=TRUE,$R153=TRUE),AH150+AH153,0)))</f>
        <v>7</v>
      </c>
      <c r="AI154" s="591">
        <f>IF(AND($U150=TRUE,$U153=FALSE),AI150,IF(AND($U150=FALSE,$U153=TRUE),AI153,IF(AND($U150=TRUE,$U153=TRUE),AI150+AI153,0)))</f>
        <v>0</v>
      </c>
      <c r="AJ154" s="591">
        <f>IF(AND($K150=TRUE,$K153=FALSE),AJ150,IF(AND($K150=FALSE,$K153=TRUE),AJ153,IF(AND($K150=TRUE,$K153=TRUE),AJ150+AJ153,MAX(AJ150,AJ153))))</f>
        <v>8</v>
      </c>
      <c r="AK154" s="591">
        <f>IF(AND($K150=TRUE,$K153=FALSE),AK150,IF(AND($K150=FALSE,$K153=TRUE),AK153,IF(AND($K150=TRUE,$K153=TRUE),AK150+AK153,MAX(AK150,AK153))))</f>
        <v>30</v>
      </c>
      <c r="AL154" s="591">
        <f>IF(AND($R150=TRUE,$R153=FALSE),AL150,IF(AND($R150=FALSE,$R153=TRUE),AL153,IF(AND($R150=TRUE,$R153=TRUE),AL150+AL153,MAX(AL150,AL153))))</f>
        <v>6</v>
      </c>
      <c r="AM154" s="591">
        <f t="shared" ref="AM154" si="248">IF(AND($R150=TRUE,$R153=FALSE),AM150,IF(AND($R150=FALSE,$R153=TRUE),AM153,IF(AND($R150=TRUE,$R153=TRUE),AM150+AM153,MAX(AM150,AM153))))</f>
        <v>30</v>
      </c>
      <c r="AN154" s="591">
        <f>IF(AND($U150=TRUE,$U153=FALSE),AN150,IF(AND($U150=FALSE,$U153=TRUE),AN153,IF(AND($U150=TRUE,$U153=TRUE),AN150+AN153,MAX(AN150,AN153))))</f>
        <v>0</v>
      </c>
      <c r="AO154" s="591">
        <f t="shared" ref="AO154" si="249">IF(AND($U150=TRUE,$U153=FALSE),AO150,IF(AND($U150=FALSE,$U153=TRUE),AO153,IF(AND($U150=TRUE,$U153=TRUE),AO150+AO153,MAX(AO150,AO153))))</f>
        <v>0</v>
      </c>
      <c r="AV154" s="734"/>
      <c r="AX154" s="734"/>
      <c r="AY154" s="87"/>
      <c r="AZ154" s="87"/>
      <c r="BA154" s="442"/>
      <c r="BB154" s="89"/>
      <c r="BC154" s="446"/>
      <c r="BD154" s="89"/>
      <c r="BE154" s="89"/>
      <c r="BF154" s="447"/>
      <c r="BG154" s="443"/>
      <c r="BH154" s="443"/>
      <c r="BL154" s="734"/>
      <c r="BM154" s="734"/>
      <c r="BN154" s="734"/>
      <c r="BO154" s="734"/>
      <c r="BP154" s="734"/>
      <c r="BQ154" s="734"/>
      <c r="BR154" s="734"/>
      <c r="BS154" s="734"/>
      <c r="BT154" s="734"/>
      <c r="BU154" s="734"/>
      <c r="BV154" s="734"/>
      <c r="BW154" s="734"/>
      <c r="BX154" s="734"/>
      <c r="BY154" s="734"/>
      <c r="BZ154" s="734"/>
    </row>
    <row r="155" spans="1:78" ht="51" x14ac:dyDescent="0.2">
      <c r="A155" t="str">
        <f>IF(Test_Bible!B281="","F","O")</f>
        <v>O</v>
      </c>
      <c r="B155" s="1700" t="str">
        <f>'Cpts AR +indép + Sommaire'!S21</f>
        <v>Chantage affectif, manipulation</v>
      </c>
      <c r="C155" s="287" t="str">
        <f>'Cpts AR +indép + Sommaire'!O21</f>
        <v>E07</v>
      </c>
      <c r="D155" s="25" t="str">
        <f>'Cpts AR +indép + Sommaire'!P21</f>
        <v>Votre enfant se sent coupable de passer du temps avec vous car cela pourrait indisposer, contrarier ou faire de la peine à l'autre parent.</v>
      </c>
      <c r="E155" s="78" t="s">
        <v>625</v>
      </c>
      <c r="F155" s="709">
        <f>'Cpts AR +indép + Sommaire'!Q21</f>
        <v>7</v>
      </c>
      <c r="G155" s="709">
        <f>'Cpts AR +indép + Sommaire'!R21</f>
        <v>1</v>
      </c>
      <c r="H155" s="709">
        <f>F155*G155</f>
        <v>7</v>
      </c>
      <c r="I155" s="1350">
        <v>7</v>
      </c>
      <c r="J155" s="1343">
        <v>10</v>
      </c>
      <c r="K155" s="31" t="b">
        <f>IF(AND(F154&gt;=I155,F154&lt;=J155),TRUE,FALSE)</f>
        <v>0</v>
      </c>
      <c r="L155" s="31"/>
      <c r="M155" s="31"/>
      <c r="N155" s="31"/>
      <c r="O155" s="1351"/>
      <c r="P155" s="1350">
        <v>2</v>
      </c>
      <c r="Q155" s="1343">
        <v>10</v>
      </c>
      <c r="R155" s="1351" t="b">
        <f>IF(AND(F154&gt;=P155,F154&lt;=Q155),TRUE,FALSE)</f>
        <v>0</v>
      </c>
      <c r="S155" s="1350"/>
      <c r="T155" s="1343"/>
      <c r="U155" s="1351"/>
      <c r="V155" s="807"/>
      <c r="W155" s="821" t="s">
        <v>753</v>
      </c>
      <c r="X155" s="822"/>
      <c r="Y155" s="821"/>
      <c r="Z155" s="822"/>
      <c r="AA155" s="821"/>
      <c r="AB155" s="822"/>
      <c r="AD155" s="10"/>
      <c r="AE155" s="10"/>
      <c r="AF155" s="10"/>
      <c r="AG155" s="832">
        <f>IF($K155=TRUE,H155,0)</f>
        <v>0</v>
      </c>
      <c r="AH155" s="832">
        <f>IF($R155=TRUE,H155,0)</f>
        <v>0</v>
      </c>
      <c r="AI155" s="832"/>
      <c r="AJ155" s="1490">
        <f t="shared" ref="AJ155:AJ156" si="250">IF(OR(I155=11,A155="F"),0,G155*I155)</f>
        <v>7</v>
      </c>
      <c r="AK155" s="1490">
        <f t="shared" ref="AK155:AK156" si="251">IF(OR(J155=11,A155="F"),0,G155*J155)</f>
        <v>10</v>
      </c>
      <c r="AL155" s="1490">
        <f t="shared" ref="AL155:AL156" si="252">IF(OR(P155=11,A155="F"),0,G155*P155)</f>
        <v>2</v>
      </c>
      <c r="AM155" s="1490">
        <f t="shared" ref="AM155:AM156" si="253">IF(OR(Q155=11,A155="F"),0,G155*Q155)</f>
        <v>10</v>
      </c>
      <c r="AN155" s="1490">
        <f t="shared" ref="AN155:AN156" si="254">IF(OR(S155=11,A155="F"),0,S155*G155)</f>
        <v>0</v>
      </c>
      <c r="AO155" s="1490">
        <f t="shared" ref="AO155:AO156" si="255">IF(OR(T155=11,A155="F"),0,T155*G155)</f>
        <v>0</v>
      </c>
      <c r="AV155" s="734"/>
      <c r="AX155" s="734"/>
      <c r="AY155" s="87"/>
      <c r="AZ155" s="87"/>
      <c r="BA155" s="442"/>
      <c r="BB155" s="89"/>
      <c r="BC155" s="446"/>
      <c r="BD155" s="89"/>
      <c r="BE155" s="89"/>
      <c r="BF155" s="447"/>
      <c r="BG155" s="443"/>
      <c r="BH155" s="443"/>
      <c r="BL155" s="734"/>
      <c r="BM155" s="734"/>
      <c r="BN155" s="734"/>
      <c r="BO155" s="734"/>
      <c r="BP155" s="734"/>
      <c r="BQ155" s="734"/>
      <c r="BR155" s="734"/>
      <c r="BS155" s="734"/>
      <c r="BT155" s="734"/>
      <c r="BU155" s="734"/>
      <c r="BV155" s="734"/>
      <c r="BW155" s="734"/>
      <c r="BX155" s="734"/>
      <c r="BY155" s="734"/>
      <c r="BZ155" s="734"/>
    </row>
    <row r="156" spans="1:78" ht="20" thickBot="1" x14ac:dyDescent="0.25">
      <c r="B156" s="1700"/>
      <c r="C156" s="287"/>
      <c r="D156" s="25"/>
      <c r="E156" s="78"/>
      <c r="F156" s="709"/>
      <c r="G156" s="708"/>
      <c r="H156" s="709">
        <f>F156*G156</f>
        <v>0</v>
      </c>
      <c r="I156" s="1374">
        <v>11</v>
      </c>
      <c r="J156" s="1375">
        <v>11</v>
      </c>
      <c r="K156" s="31" t="b">
        <f>IF(AND(F155&gt;=I156,F155&lt;=J156),TRUE,FALSE)</f>
        <v>0</v>
      </c>
      <c r="L156" s="31"/>
      <c r="M156" s="31"/>
      <c r="N156" s="31"/>
      <c r="O156" s="1351"/>
      <c r="P156" s="1374">
        <v>11</v>
      </c>
      <c r="Q156" s="1375">
        <v>11</v>
      </c>
      <c r="R156" s="1351" t="b">
        <f>IF(AND(F155&gt;=P156,F155&lt;=Q156),TRUE,FALSE)</f>
        <v>0</v>
      </c>
      <c r="S156" s="1374"/>
      <c r="T156" s="1375"/>
      <c r="U156" s="1351"/>
      <c r="V156" s="807"/>
      <c r="W156" s="821"/>
      <c r="X156" s="822"/>
      <c r="Y156" s="821"/>
      <c r="Z156" s="822"/>
      <c r="AA156" s="821"/>
      <c r="AB156" s="822"/>
      <c r="AD156" s="10"/>
      <c r="AE156" s="10"/>
      <c r="AF156" s="10"/>
      <c r="AG156" s="832">
        <f>IF($K156=TRUE,H156,0)</f>
        <v>0</v>
      </c>
      <c r="AH156" s="832">
        <f>IF($R156=TRUE,H156,0)</f>
        <v>0</v>
      </c>
      <c r="AI156" s="832"/>
      <c r="AJ156" s="1490">
        <f t="shared" si="250"/>
        <v>0</v>
      </c>
      <c r="AK156" s="1490">
        <f t="shared" si="251"/>
        <v>0</v>
      </c>
      <c r="AL156" s="1490">
        <f t="shared" si="252"/>
        <v>0</v>
      </c>
      <c r="AM156" s="1490">
        <f t="shared" si="253"/>
        <v>0</v>
      </c>
      <c r="AN156" s="1490">
        <f t="shared" si="254"/>
        <v>0</v>
      </c>
      <c r="AO156" s="1490">
        <f t="shared" si="255"/>
        <v>0</v>
      </c>
      <c r="AV156" s="7"/>
      <c r="AX156" s="7"/>
      <c r="AY156" s="734"/>
      <c r="AZ156" s="734"/>
      <c r="BA156" s="87"/>
      <c r="BB156" s="442"/>
      <c r="BC156" s="89"/>
      <c r="BD156" s="446"/>
      <c r="BE156" s="446"/>
      <c r="BF156" s="89"/>
      <c r="BG156" s="447"/>
      <c r="BH156" s="447"/>
      <c r="BI156" s="443"/>
      <c r="BN156" s="25"/>
      <c r="BP156" s="7"/>
      <c r="BQ156" s="7"/>
      <c r="BR156" s="7"/>
      <c r="BS156" s="7"/>
      <c r="BT156" s="7"/>
      <c r="BU156" s="7"/>
      <c r="BV156" s="7"/>
      <c r="BW156" s="7"/>
      <c r="BX156" s="7"/>
      <c r="BY156" s="7"/>
      <c r="BZ156" s="7"/>
    </row>
    <row r="157" spans="1:78" ht="52" thickBot="1" x14ac:dyDescent="0.25">
      <c r="B157" s="1700"/>
      <c r="C157" s="727" t="s">
        <v>611</v>
      </c>
      <c r="D157" s="728" t="str">
        <f>_xlfn.XLOOKUP(H157,H155:H156,D155:D156)</f>
        <v>Votre enfant se sent coupable de passer du temps avec vous car cela pourrait indisposer, contrarier ou faire de la peine à l'autre parent.</v>
      </c>
      <c r="E157" s="728" t="str">
        <f>_xlfn.XLOOKUP(H157,H155:H156,E155:E156)</f>
        <v>se sent coupable de passer du temps avec vous, car cela affecte l'autre parent</v>
      </c>
      <c r="F157" s="729"/>
      <c r="G157" s="729"/>
      <c r="H157" s="729">
        <f>IF(AND(K155=TRUE,K156=FALSE),H155,IF(AND(K155=FALSE,K156=TRUE),H156,IF(AND(K155=TRUE,K156=TRUE),H155+H156,MAX(H155,H156))))</f>
        <v>7</v>
      </c>
      <c r="I157" s="1356"/>
      <c r="J157" s="730"/>
      <c r="K157" s="731" t="b">
        <f>IF(AND(K155=FALSE,K156=FALSE),FALSE,TRUE)</f>
        <v>0</v>
      </c>
      <c r="L157" s="1339"/>
      <c r="M157" s="1339"/>
      <c r="N157" s="1339"/>
      <c r="O157" s="1357"/>
      <c r="P157" s="1356"/>
      <c r="Q157" s="730"/>
      <c r="R157" s="731" t="b">
        <f>IF(AND(R155=FALSE,R156=FALSE),FALSE,TRUE)</f>
        <v>0</v>
      </c>
      <c r="S157" s="1356"/>
      <c r="T157" s="730"/>
      <c r="U157" s="731"/>
      <c r="V157" s="807"/>
      <c r="W157" s="821" t="str">
        <f>IF(K157=TRUE,"V","F")</f>
        <v>F</v>
      </c>
      <c r="X157" s="822"/>
      <c r="Y157" s="821" t="str">
        <f>IF(R157=TRUE,"V","F")</f>
        <v>F</v>
      </c>
      <c r="Z157" s="822"/>
      <c r="AA157" s="821"/>
      <c r="AB157" s="822"/>
      <c r="AD157" s="10"/>
      <c r="AE157" s="10"/>
      <c r="AF157" s="10"/>
      <c r="AG157" s="1742">
        <f>IF(AND($K155=TRUE,$K156=FALSE),AG155,IF(AND($K155=FALSE,$K156=TRUE),AG156,IF(AND($K155=TRUE,$K156=TRUE),MAX(AG155,AG156),0)))</f>
        <v>0</v>
      </c>
      <c r="AH157" s="1742">
        <f>IF(AND($R155=TRUE,$R156=FALSE),AH155,IF(AND($R155=FALSE,$R156=TRUE),AH156,IF(AND($R155=TRUE,$R156=TRUE),MAX(AH155,AH156),0)))</f>
        <v>0</v>
      </c>
      <c r="AI157" s="1742"/>
      <c r="AJ157" s="1742">
        <f>IF(AND($K155=TRUE,$K156=FALSE),AJ155,IF(AND($K155=FALSE,$K156=TRUE),AJ156,IF(AND($K155=TRUE,$K156=TRUE),MAX(AJ155,AJ156),0)))</f>
        <v>0</v>
      </c>
      <c r="AK157" s="1742">
        <f>IF(AND($K155=TRUE,$K156=FALSE),AK155,IF(AND($K155=FALSE,$K156=TRUE),AK156,IF(AND($K155=TRUE,$K156=TRUE),MAX(AK155,AK156),0)))</f>
        <v>0</v>
      </c>
      <c r="AL157" s="1742">
        <f t="shared" ref="AL157" si="256">IF(AND($R155=TRUE,$R156=FALSE),AL155,IF(AND($R155=FALSE,$R156=TRUE),AL156,IF(AND($R155=TRUE,$R156=TRUE),MAX(AL155,AL156),0)))</f>
        <v>0</v>
      </c>
      <c r="AM157" s="1742">
        <f t="shared" ref="AM157" si="257">IF(AND($R155=TRUE,$R156=FALSE),AM155,IF(AND($R155=FALSE,$R156=TRUE),AM156,IF(AND($R155=TRUE,$R156=TRUE),MAX(AM155,AM156),0)))</f>
        <v>0</v>
      </c>
      <c r="AN157" s="1742"/>
      <c r="AO157" s="1742"/>
      <c r="AY157" s="734"/>
      <c r="AZ157" s="734"/>
      <c r="BA157" s="87"/>
      <c r="BB157" s="442"/>
      <c r="BC157" s="89"/>
      <c r="BD157" s="446"/>
      <c r="BE157" s="446"/>
      <c r="BF157" s="89"/>
      <c r="BG157" s="447"/>
      <c r="BH157" s="447"/>
      <c r="BI157" s="443"/>
    </row>
    <row r="158" spans="1:78" ht="51" x14ac:dyDescent="0.2">
      <c r="B158" s="1700"/>
      <c r="D158" s="386" t="s">
        <v>273</v>
      </c>
      <c r="E158" s="705"/>
      <c r="F158" s="439" t="s">
        <v>349</v>
      </c>
      <c r="G158" s="33"/>
      <c r="H158" s="33">
        <f>IF(AND(K154=TRUE,K157=FALSE),H154,IF(AND(K154=FALSE,K157=TRUE),H157,IF(AND(K154=TRUE,K157=TRUE),H154+H157,MAX(H154,H157))))</f>
        <v>7</v>
      </c>
      <c r="I158" s="1358"/>
      <c r="J158" s="440"/>
      <c r="K158" s="1341"/>
      <c r="L158" s="1342" t="str">
        <f>IF(AND(K157=TRUE,K154=TRUE),E157,"")</f>
        <v/>
      </c>
      <c r="M158" s="1342" t="str">
        <f>IF(AND(K154=TRUE,K157=FALSE),"Bien que le parent "&amp;E154&amp;" l'enfant ne semble pas s'ingérer","")</f>
        <v>Bien que le parent culpabilise l'enfant pour son amour pour vous l'enfant ne semble pas s'ingérer</v>
      </c>
      <c r="N158" s="1342" t="str">
        <f>IF(AND(K154=FALSE,K157=TRUE),E157&amp;" sans signe de la participation du parent favorisé et|ou nouveau conjoint.e","")</f>
        <v/>
      </c>
      <c r="O158" s="1359" t="str">
        <f>IF(AND(K154=FALSE,K157=FALSE),"aucun comportement significatif de cette nature","")</f>
        <v/>
      </c>
      <c r="P158" s="1358"/>
      <c r="Q158" s="440"/>
      <c r="R158" s="1367"/>
      <c r="S158" s="1358"/>
      <c r="T158" s="440"/>
      <c r="U158" s="1367"/>
      <c r="V158" s="145"/>
      <c r="W158" s="823"/>
      <c r="X158" s="824">
        <f>IF(AND(W154="V",W157="V"),2,IF(OR(W154="V",W157="V"),1,0))</f>
        <v>1</v>
      </c>
      <c r="Y158" s="823"/>
      <c r="Z158" s="824">
        <f>IF(OR(Y154="V",Y157="V"),1,0)</f>
        <v>1</v>
      </c>
      <c r="AA158" s="823"/>
      <c r="AB158" s="824"/>
      <c r="AD158" s="10"/>
      <c r="AE158" s="10"/>
      <c r="AF158" s="10"/>
      <c r="AG158" s="1738">
        <f>IF(AND($W154="V",$W157="F"),AG154,IF(AND($W154="F",$W157="V"),AG157,IF(AND($W154="V",$W157="V"),AG154+AG157,0)))</f>
        <v>7</v>
      </c>
      <c r="AH158" s="1738">
        <f>IF(AND($Y154="V",$Y157="F"),AH154,IF(AND($Y154="F",$Y157="V"),AH157,IF(AND($Y154="V",$Y157="V"),AH154+AH157,0)))</f>
        <v>7</v>
      </c>
      <c r="AI158" s="1738"/>
      <c r="AJ158" s="1738">
        <f>IF(AND($W154="V",$W157="F"),AJ154,IF(AND($W154="F",$W157="V"),AJ157,IF(AND($W154="V",$W157="V"),AJ154+AJ157,0)))</f>
        <v>8</v>
      </c>
      <c r="AK158" s="1738">
        <f>IF(AND($W154="V",$W157="F"),AK154,IF(AND($W154="F",$W157="V"),AK157,IF(AND($W154="V",$W157="V"),AK154+AK157,0)))</f>
        <v>30</v>
      </c>
      <c r="AL158" s="1738">
        <f>IF(AND($Y154="V",$Y157="F"),AL154,IF(AND($Y154="F",$Y157="V"),AL157,IF(AND($Y154="V",$Y157="V"),AL154+AL157,0)))</f>
        <v>6</v>
      </c>
      <c r="AM158" s="1738">
        <f>IF(AND($Y154="V",$Y157="F"),AM154,IF(AND($Y154="F",$Y157="V"),AM157,IF(AND($Y154="V",$Y157="V"),AM154+AM157,0)))</f>
        <v>30</v>
      </c>
      <c r="AN158" s="1738"/>
      <c r="AO158" s="1738"/>
      <c r="AY158" s="734"/>
      <c r="AZ158" s="734"/>
      <c r="BA158" s="87"/>
      <c r="BB158" s="442"/>
      <c r="BC158" s="89"/>
      <c r="BD158" s="446"/>
      <c r="BE158" s="446"/>
      <c r="BF158" s="89"/>
      <c r="BG158" s="447"/>
      <c r="BH158" s="447"/>
      <c r="BI158" s="443"/>
    </row>
    <row r="159" spans="1:78" ht="19" x14ac:dyDescent="0.2">
      <c r="B159" s="1700"/>
      <c r="C159" t="s">
        <v>238</v>
      </c>
      <c r="I159" s="122"/>
      <c r="L159" s="32"/>
      <c r="M159" s="32"/>
      <c r="N159" s="32"/>
      <c r="O159" s="1379"/>
      <c r="P159" s="122"/>
      <c r="R159" s="292"/>
      <c r="S159" s="122"/>
      <c r="U159" s="292"/>
      <c r="V159" s="32"/>
      <c r="W159" s="821"/>
      <c r="X159" s="822"/>
      <c r="Y159" s="821"/>
      <c r="Z159" s="822"/>
      <c r="AA159" s="821"/>
      <c r="AB159" s="822"/>
      <c r="AD159" s="10"/>
      <c r="AE159" s="10"/>
      <c r="AF159" s="10"/>
      <c r="AG159" s="832"/>
      <c r="AH159" s="832"/>
      <c r="AI159" s="832"/>
      <c r="AJ159" s="1490"/>
      <c r="AK159" s="1490"/>
      <c r="AL159" s="1490"/>
      <c r="AM159" s="1490"/>
      <c r="AN159" s="1490"/>
      <c r="AO159" s="1490"/>
      <c r="AU159" s="7"/>
      <c r="AY159" s="734"/>
      <c r="AZ159" s="734"/>
      <c r="BA159" s="87"/>
      <c r="BB159" s="442"/>
      <c r="BC159" s="89"/>
      <c r="BD159" s="446"/>
      <c r="BE159" s="446"/>
      <c r="BF159" s="89"/>
      <c r="BG159" s="447"/>
      <c r="BH159" s="447"/>
      <c r="BI159" s="443"/>
    </row>
    <row r="160" spans="1:78" ht="19" x14ac:dyDescent="0.2">
      <c r="B160" s="1700"/>
      <c r="C160" s="825"/>
      <c r="D160" s="829"/>
      <c r="E160" s="826"/>
      <c r="F160" s="830"/>
      <c r="G160" s="830"/>
      <c r="H160" s="830">
        <f>F160*G160</f>
        <v>0</v>
      </c>
      <c r="I160" s="1374">
        <v>11</v>
      </c>
      <c r="J160" s="1375">
        <v>11</v>
      </c>
      <c r="K160" s="31" t="b">
        <f>IF(AND(F159&gt;=I160,F159&lt;=J160),TRUE,FALSE)</f>
        <v>0</v>
      </c>
      <c r="L160" s="26"/>
      <c r="M160" s="26"/>
      <c r="N160" s="26"/>
      <c r="O160" s="1360"/>
      <c r="P160" s="1374">
        <v>11</v>
      </c>
      <c r="Q160" s="1375">
        <v>11</v>
      </c>
      <c r="R160" s="1351" t="b">
        <f>IF(AND(F160&gt;=P160,F160&lt;=Q160),TRUE,FALSE)</f>
        <v>0</v>
      </c>
      <c r="S160" s="1374">
        <v>11</v>
      </c>
      <c r="T160" s="1375">
        <v>11</v>
      </c>
      <c r="U160" s="1351" t="b">
        <f>IF(AND(F160&gt;=S160,F160&lt;=T160),TRUE,FALSE)</f>
        <v>0</v>
      </c>
      <c r="V160" s="32"/>
      <c r="W160" s="821"/>
      <c r="X160" s="822"/>
      <c r="Y160" s="821"/>
      <c r="Z160" s="822"/>
      <c r="AA160" s="821"/>
      <c r="AB160" s="822"/>
      <c r="AD160" s="10"/>
      <c r="AE160" s="10"/>
      <c r="AF160" s="10"/>
      <c r="AG160" s="832">
        <f>IF($K160=TRUE,H160,0)</f>
        <v>0</v>
      </c>
      <c r="AH160" s="832">
        <f>IF($R160=TRUE,H160,0)</f>
        <v>0</v>
      </c>
      <c r="AI160" s="832">
        <f>IF($U160=TRUE,H160,0)</f>
        <v>0</v>
      </c>
      <c r="AJ160" s="1490">
        <f t="shared" ref="AJ160:AJ161" si="258">IF(OR(I160=11,A160="F"),0,G160*I160)</f>
        <v>0</v>
      </c>
      <c r="AK160" s="1490">
        <f t="shared" ref="AK160:AK161" si="259">IF(OR(J160=11,A160="F"),0,G160*J160)</f>
        <v>0</v>
      </c>
      <c r="AL160" s="1490">
        <f t="shared" ref="AL160:AL161" si="260">IF(OR(P160=11,A160="F"),0,G160*P160)</f>
        <v>0</v>
      </c>
      <c r="AM160" s="1490">
        <f t="shared" ref="AM160:AM161" si="261">IF(OR(Q160=11,A160="F"),0,G160*Q160)</f>
        <v>0</v>
      </c>
      <c r="AN160" s="1490">
        <f t="shared" ref="AN160:AN161" si="262">IF(OR(S160=11,A160="F"),0,S160*G160)</f>
        <v>0</v>
      </c>
      <c r="AO160" s="1490">
        <f t="shared" ref="AO160:AO161" si="263">IF(OR(T160=11,A160="F"),0,T160*G160)</f>
        <v>0</v>
      </c>
      <c r="AU160" s="7"/>
      <c r="AY160" s="734"/>
      <c r="AZ160" s="734"/>
      <c r="BA160" s="87"/>
      <c r="BB160" s="442"/>
      <c r="BC160" s="89"/>
      <c r="BD160" s="446"/>
      <c r="BE160" s="446"/>
      <c r="BF160" s="89"/>
      <c r="BG160" s="447"/>
      <c r="BH160" s="447"/>
      <c r="BI160" s="443"/>
    </row>
    <row r="161" spans="1:78" ht="27" thickBot="1" x14ac:dyDescent="0.35">
      <c r="C161" s="825"/>
      <c r="D161" s="829"/>
      <c r="E161" s="826"/>
      <c r="F161" s="830"/>
      <c r="G161" s="830"/>
      <c r="H161" s="830">
        <f>F161*G161</f>
        <v>0</v>
      </c>
      <c r="I161" s="1374">
        <v>11</v>
      </c>
      <c r="J161" s="1375">
        <v>11</v>
      </c>
      <c r="K161" s="31" t="b">
        <f>IF(AND(F160&gt;=I161,F160&lt;=J161),TRUE,FALSE)</f>
        <v>0</v>
      </c>
      <c r="L161" s="26"/>
      <c r="M161" s="26"/>
      <c r="N161" s="26"/>
      <c r="O161" s="1360"/>
      <c r="P161" s="1374">
        <v>11</v>
      </c>
      <c r="Q161" s="1375">
        <v>11</v>
      </c>
      <c r="R161" s="1351" t="b">
        <f>IF(AND(F161&gt;=P161,F161&lt;=Q161),TRUE,FALSE)</f>
        <v>0</v>
      </c>
      <c r="S161" s="1374">
        <v>11</v>
      </c>
      <c r="T161" s="1375">
        <v>11</v>
      </c>
      <c r="U161" s="1351" t="b">
        <f>IF(AND(F161&gt;=S161,F161&lt;=T161),TRUE,FALSE)</f>
        <v>0</v>
      </c>
      <c r="W161" s="821"/>
      <c r="X161" s="822"/>
      <c r="Y161" s="821"/>
      <c r="Z161" s="822"/>
      <c r="AA161" s="821"/>
      <c r="AB161" s="822"/>
      <c r="AD161" s="10"/>
      <c r="AE161" s="10"/>
      <c r="AF161" s="10"/>
      <c r="AG161" s="832">
        <f>IF($K161=TRUE,H161,0)</f>
        <v>0</v>
      </c>
      <c r="AH161" s="832">
        <f>IF($R161=TRUE,H161,0)</f>
        <v>0</v>
      </c>
      <c r="AI161" s="832">
        <f>IF($U161=TRUE,H161,0)</f>
        <v>0</v>
      </c>
      <c r="AJ161" s="1490">
        <f t="shared" si="258"/>
        <v>0</v>
      </c>
      <c r="AK161" s="1490">
        <f t="shared" si="259"/>
        <v>0</v>
      </c>
      <c r="AL161" s="1490">
        <f t="shared" si="260"/>
        <v>0</v>
      </c>
      <c r="AM161" s="1490">
        <f t="shared" si="261"/>
        <v>0</v>
      </c>
      <c r="AN161" s="1490">
        <f t="shared" si="262"/>
        <v>0</v>
      </c>
      <c r="AO161" s="1490">
        <f t="shared" si="263"/>
        <v>0</v>
      </c>
      <c r="AU161" s="7"/>
      <c r="AY161" s="734"/>
      <c r="AZ161" s="734"/>
      <c r="BA161" s="87"/>
      <c r="BB161" s="442"/>
      <c r="BC161" s="89"/>
      <c r="BD161" s="446"/>
      <c r="BE161" s="446"/>
      <c r="BF161" s="89"/>
      <c r="BG161" s="447"/>
      <c r="BH161" s="447"/>
      <c r="BI161" s="443"/>
    </row>
    <row r="162" spans="1:78" ht="27" thickBot="1" x14ac:dyDescent="0.35">
      <c r="D162" s="16"/>
      <c r="E162" s="16"/>
      <c r="F162" s="67"/>
      <c r="G162" s="438"/>
      <c r="H162" s="33">
        <f>IF(AND(K160=TRUE,K161=FALSE),H160,IF(AND(K160=FALSE,K161=TRUE),H161,IF(AND(K160=TRUE,K161=TRUE),H160+H161,MAX(H160,H161))))</f>
        <v>0</v>
      </c>
      <c r="I162" s="1371"/>
      <c r="J162" s="1372"/>
      <c r="K162" s="1378" t="b">
        <f>IF(AND(K160=FALSE,K161=FALSE),FALSE,TRUE)</f>
        <v>0</v>
      </c>
      <c r="L162" s="1361"/>
      <c r="M162" s="1362"/>
      <c r="N162" s="1362"/>
      <c r="O162" s="1363"/>
      <c r="P162" s="1371"/>
      <c r="Q162" s="1372"/>
      <c r="R162" s="1378" t="b">
        <f>IF(AND(R160=FALSE,R161=FALSE),FALSE,TRUE)</f>
        <v>0</v>
      </c>
      <c r="S162" s="1383"/>
      <c r="T162" s="1384"/>
      <c r="U162" s="1385" t="b">
        <f>IF(AND(U160=FALSE,U161=FALSE),FALSE,TRUE)</f>
        <v>0</v>
      </c>
      <c r="V162" s="809"/>
      <c r="W162" s="1315" t="str">
        <f>IF(K162=TRUE,"V","F")</f>
        <v>F</v>
      </c>
      <c r="X162" s="1316"/>
      <c r="Y162" s="1315" t="str">
        <f>IF(R162=TRUE,"V","F")</f>
        <v>F</v>
      </c>
      <c r="Z162" s="1316"/>
      <c r="AA162" s="1315" t="str">
        <f>IF(U162=TRUE,"V","F")</f>
        <v>F</v>
      </c>
      <c r="AB162" s="1316"/>
      <c r="AD162" s="10"/>
      <c r="AE162" s="10"/>
      <c r="AF162" s="10"/>
      <c r="AG162" s="1742">
        <f>IF(AND($K160=TRUE,$K161=FALSE),AG160,IF(AND($K160=FALSE,$K161=TRUE),AG161,MAX(AG160,AG161)))</f>
        <v>0</v>
      </c>
      <c r="AH162" s="1742">
        <f>IF(AND($R160=TRUE,$R161=FALSE),AH160,IF(AND($R160=FALSE,$R161=TRUE),AH161,MAX(AH160,AH161)))</f>
        <v>0</v>
      </c>
      <c r="AI162" s="1742">
        <f>IF(AND($U160=TRUE,$U161=FALSE),AI160,IF(AND($U160=FALSE,$U161=TRUE),AI161,MAX(AI160,AI161)))</f>
        <v>0</v>
      </c>
      <c r="AJ162" s="1742">
        <f>IF(AND($K160=TRUE,$K161=FALSE),AJ160,IF(AND($K160=FALSE,$K161=TRUE),AJ161,MAX(AJ160,AJ161)))</f>
        <v>0</v>
      </c>
      <c r="AK162" s="1742">
        <f>IF(AND($K160=TRUE,$K161=FALSE),AK160,IF(AND($K160=FALSE,$K161=TRUE),AK161,MAX(AK160,AK161)))</f>
        <v>0</v>
      </c>
      <c r="AL162" s="1742">
        <f>IF(AND($R160=TRUE,$R161=FALSE),AL160,IF(AND($R160=FALSE,$R161=TRUE),AL161,MAX(AL160,AL161)))</f>
        <v>0</v>
      </c>
      <c r="AM162" s="1742">
        <f>IF(AND($R160=TRUE,$R161=FALSE),AM160,IF(AND($R160=FALSE,$R161=TRUE),AM161,MAX(AM160,AM161)))</f>
        <v>0</v>
      </c>
      <c r="AN162" s="1742">
        <f>IF(AND($U160=TRUE,$U161=FALSE),AN160,IF(AND($U160=FALSE,$U161=TRUE),AN161,MAX(AN160,AN161)))</f>
        <v>0</v>
      </c>
      <c r="AO162" s="1742">
        <f>IF(AND($U160=TRUE,$U161=FALSE),AO160,IF(AND($U160=FALSE,$U161=TRUE),AO161,MAX(AO160,AO161)))</f>
        <v>0</v>
      </c>
      <c r="AU162" s="7"/>
      <c r="AY162" s="734"/>
      <c r="AZ162" s="734"/>
      <c r="BA162" s="87"/>
      <c r="BB162" s="442"/>
      <c r="BC162" s="89"/>
      <c r="BD162" s="446"/>
      <c r="BE162" s="446"/>
      <c r="BF162" s="89"/>
      <c r="BG162" s="447"/>
      <c r="BH162" s="447"/>
      <c r="BI162" s="443"/>
    </row>
    <row r="163" spans="1:78" ht="27" thickBot="1" x14ac:dyDescent="0.35">
      <c r="D163" s="16"/>
      <c r="E163" s="16"/>
      <c r="F163" s="67"/>
      <c r="G163" s="438"/>
      <c r="H163" s="438"/>
      <c r="I163" s="8"/>
      <c r="J163" s="8"/>
      <c r="K163" s="63"/>
      <c r="L163" s="145"/>
      <c r="M163" s="145"/>
      <c r="N163" s="145"/>
      <c r="O163" s="145"/>
      <c r="P163" s="145"/>
      <c r="Q163" s="145"/>
      <c r="R163" s="145"/>
      <c r="S163" s="145"/>
      <c r="T163" s="145"/>
      <c r="U163" s="145"/>
      <c r="V163" s="145"/>
      <c r="W163" s="1376"/>
      <c r="X163" s="1377">
        <f>IF(AND(W162="V",W154="V"),X158-1,X158)</f>
        <v>1</v>
      </c>
      <c r="Y163" s="1376"/>
      <c r="Z163" s="1377">
        <f>IF(OR(Y154="V",Y157="V",Y162="V"),1,0)</f>
        <v>1</v>
      </c>
      <c r="AA163" s="1376"/>
      <c r="AB163" s="1377">
        <f>IF(AA154="V",1,IF(AA162="V",1,0))</f>
        <v>0</v>
      </c>
      <c r="AD163" s="10">
        <f>X163</f>
        <v>1</v>
      </c>
      <c r="AE163" s="10">
        <f>Z163</f>
        <v>1</v>
      </c>
      <c r="AF163" s="10">
        <f>AB163</f>
        <v>0</v>
      </c>
      <c r="AG163" s="1741">
        <f>IF($W162="F",AG158,AG158+AG162)</f>
        <v>7</v>
      </c>
      <c r="AH163" s="1741">
        <f>IF($Y162="F",AH158,AH158+AH162)</f>
        <v>7</v>
      </c>
      <c r="AI163" s="1741">
        <f>IF(AND($AA154="V",$AA162="F"),AI154,IF(AND($AA154="F",$AA162="V"),AI162,IF(AND($AA154="V",$AA162="V"),AI154+AI162,0)))</f>
        <v>0</v>
      </c>
      <c r="AJ163" s="1741">
        <f>IF($W162="F",AJ158,AJ158+AJ162)</f>
        <v>8</v>
      </c>
      <c r="AK163" s="1741">
        <f t="shared" ref="AK163" si="264">IF($W162="F",AK158,AK158+AK162)</f>
        <v>30</v>
      </c>
      <c r="AL163" s="1741">
        <f t="shared" ref="AL163" si="265">IF($Y162="F",AL158,AL158+AL162)</f>
        <v>6</v>
      </c>
      <c r="AM163" s="1741">
        <f t="shared" ref="AM163" si="266">IF($Y162="F",AM158,AM158+AM162)</f>
        <v>30</v>
      </c>
      <c r="AN163" s="1741">
        <f>IF(AND($AA154="V",$AA162="F"),AN154,IF(AND($AA154="F",$AA162="V"),AN162,IF(AND($AA154="V",$AA162="V"),AN154+AN162,0)))</f>
        <v>0</v>
      </c>
      <c r="AO163" s="1741">
        <f>IF(AND($AA154="V",$AA162="F"),AO154,IF(AND($AA154="F",$AA162="V"),AO162,IF(AND($AA154="V",$AA162="V"),AO154+AO162,0)))</f>
        <v>0</v>
      </c>
      <c r="AY163" s="734"/>
      <c r="AZ163" s="734"/>
      <c r="BA163" s="87"/>
      <c r="BB163" s="442"/>
      <c r="BC163" s="89"/>
      <c r="BD163" s="446"/>
      <c r="BE163" s="446"/>
      <c r="BF163" s="89"/>
      <c r="BG163" s="447"/>
      <c r="BH163" s="447"/>
      <c r="BI163" s="443"/>
    </row>
    <row r="164" spans="1:78" x14ac:dyDescent="0.3">
      <c r="D164" s="16"/>
      <c r="E164" s="16"/>
      <c r="F164" s="67"/>
      <c r="G164" s="438"/>
      <c r="H164" s="438"/>
      <c r="I164" s="2609" t="s">
        <v>1090</v>
      </c>
      <c r="J164" s="2610"/>
      <c r="K164" s="2611"/>
      <c r="L164" s="2603"/>
      <c r="M164" s="2603"/>
      <c r="N164" s="2603"/>
      <c r="O164" s="1347"/>
      <c r="P164" s="2606" t="s">
        <v>1089</v>
      </c>
      <c r="Q164" s="2607"/>
      <c r="R164" s="2608"/>
      <c r="S164" s="1394" t="s">
        <v>1088</v>
      </c>
      <c r="T164" s="1346"/>
      <c r="U164" s="1347"/>
      <c r="V164" s="145"/>
      <c r="AD164" s="10"/>
      <c r="AE164" s="10"/>
      <c r="AF164" s="10"/>
      <c r="AY164" s="734"/>
      <c r="AZ164" s="734"/>
      <c r="BA164" s="87"/>
      <c r="BB164" s="442"/>
      <c r="BC164" s="89"/>
      <c r="BD164" s="446"/>
      <c r="BE164" s="446"/>
      <c r="BF164" s="89"/>
      <c r="BG164" s="447"/>
      <c r="BH164" s="447"/>
      <c r="BI164" s="443"/>
    </row>
    <row r="165" spans="1:78" x14ac:dyDescent="0.3">
      <c r="B165" s="1699">
        <v>7</v>
      </c>
      <c r="D165" s="441" t="str">
        <f>'Cpts AR +indép + Sommaire'!B25</f>
        <v>Intervention à la suite d'un retour de garde</v>
      </c>
      <c r="E165" s="84"/>
      <c r="F165" s="50"/>
      <c r="G165" s="18"/>
      <c r="H165" s="18"/>
      <c r="I165" s="2595" t="s">
        <v>604</v>
      </c>
      <c r="J165" s="2596"/>
      <c r="K165" s="2596"/>
      <c r="L165" s="2597" t="s">
        <v>1086</v>
      </c>
      <c r="M165" s="2597"/>
      <c r="N165" s="2597"/>
      <c r="O165" s="2598"/>
      <c r="P165" s="2599" t="s">
        <v>603</v>
      </c>
      <c r="Q165" s="2600"/>
      <c r="R165" s="2601"/>
      <c r="S165" s="2590" t="s">
        <v>605</v>
      </c>
      <c r="T165" s="2591"/>
      <c r="U165" s="2592"/>
      <c r="V165" s="15"/>
      <c r="W165" s="817"/>
      <c r="X165" s="817"/>
      <c r="Y165" s="817"/>
      <c r="Z165" s="817"/>
      <c r="AA165" s="817"/>
      <c r="AB165" s="818"/>
      <c r="AD165" s="10"/>
      <c r="AE165" s="10"/>
      <c r="AF165" s="10"/>
      <c r="AG165" s="1386" t="s">
        <v>604</v>
      </c>
      <c r="AH165" s="1386" t="s">
        <v>603</v>
      </c>
      <c r="AI165" s="1386" t="s">
        <v>605</v>
      </c>
      <c r="AJ165" s="2589" t="s">
        <v>604</v>
      </c>
      <c r="AK165" s="2589"/>
      <c r="AL165" s="2589" t="s">
        <v>603</v>
      </c>
      <c r="AM165" s="2589"/>
      <c r="AN165" s="2589" t="s">
        <v>605</v>
      </c>
      <c r="AO165" s="2589"/>
      <c r="AY165" s="734"/>
      <c r="AZ165" s="734"/>
      <c r="BA165" s="87"/>
      <c r="BB165" s="442"/>
      <c r="BC165" s="89"/>
      <c r="BD165" s="446"/>
      <c r="BE165" s="446"/>
      <c r="BF165" s="89"/>
      <c r="BG165" s="447"/>
      <c r="BH165" s="447"/>
      <c r="BI165" s="443"/>
    </row>
    <row r="166" spans="1:78" ht="34" x14ac:dyDescent="0.2">
      <c r="B166" s="1700"/>
      <c r="D166" s="79" t="s">
        <v>779</v>
      </c>
      <c r="E166" s="835" t="s">
        <v>778</v>
      </c>
      <c r="F166" s="26" t="s">
        <v>226</v>
      </c>
      <c r="G166" s="26" t="s">
        <v>22</v>
      </c>
      <c r="H166" s="26" t="s">
        <v>612</v>
      </c>
      <c r="I166" s="1348" t="s">
        <v>269</v>
      </c>
      <c r="J166" s="29" t="s">
        <v>270</v>
      </c>
      <c r="K166" s="29" t="s">
        <v>271</v>
      </c>
      <c r="L166" s="29" t="s">
        <v>363</v>
      </c>
      <c r="M166" s="29" t="s">
        <v>339</v>
      </c>
      <c r="N166" s="29" t="s">
        <v>340</v>
      </c>
      <c r="O166" s="1349" t="s">
        <v>341</v>
      </c>
      <c r="P166" s="1348" t="s">
        <v>269</v>
      </c>
      <c r="Q166" s="29" t="s">
        <v>270</v>
      </c>
      <c r="R166" s="1349" t="s">
        <v>271</v>
      </c>
      <c r="S166" s="1348" t="s">
        <v>269</v>
      </c>
      <c r="T166" s="29" t="s">
        <v>270</v>
      </c>
      <c r="U166" s="1349" t="s">
        <v>271</v>
      </c>
      <c r="V166" s="736"/>
      <c r="W166" s="827" t="s">
        <v>604</v>
      </c>
      <c r="X166" s="828" t="s">
        <v>754</v>
      </c>
      <c r="Y166" s="827" t="s">
        <v>603</v>
      </c>
      <c r="Z166" s="828" t="s">
        <v>755</v>
      </c>
      <c r="AA166" s="827" t="s">
        <v>605</v>
      </c>
      <c r="AB166" s="828" t="s">
        <v>756</v>
      </c>
      <c r="AD166" s="10"/>
      <c r="AE166" s="10"/>
      <c r="AF166" s="10"/>
      <c r="AG166" s="10"/>
      <c r="AH166" s="10"/>
      <c r="AI166" s="10"/>
      <c r="AJ166" s="1490" t="s">
        <v>1058</v>
      </c>
      <c r="AK166" s="1490" t="s">
        <v>1059</v>
      </c>
      <c r="AL166" s="1490" t="s">
        <v>1058</v>
      </c>
      <c r="AM166" s="1490" t="s">
        <v>1059</v>
      </c>
      <c r="AN166" s="1490" t="s">
        <v>1058</v>
      </c>
      <c r="AO166" s="1490" t="s">
        <v>1059</v>
      </c>
      <c r="AY166" s="734"/>
      <c r="AZ166" s="734"/>
      <c r="BA166" s="87"/>
      <c r="BB166" s="442"/>
      <c r="BC166" s="89"/>
      <c r="BD166" s="446"/>
      <c r="BE166" s="446"/>
      <c r="BF166" s="89"/>
      <c r="BG166" s="447"/>
      <c r="BH166" s="447"/>
      <c r="BI166" s="443"/>
    </row>
    <row r="167" spans="1:78" ht="34" x14ac:dyDescent="0.2">
      <c r="A167" t="str">
        <f>IF(Test_Bible!B180="","F","O")</f>
        <v>O</v>
      </c>
      <c r="B167" s="1531" t="str">
        <f>'Cpts AR +indép + Sommaire'!G25</f>
        <v>Chantage affectif, manipulation</v>
      </c>
      <c r="C167" s="379" t="str">
        <f>'Cpts AR +indép + Sommaire'!C25</f>
        <v>PFA09</v>
      </c>
      <c r="D167" s="25" t="str">
        <f>'Cpts AR +indép + Sommaire'!D25</f>
        <v>Arrive-t-il que l'autre parent vous accable de reproches par courriel ou texto au retour des enfants (après votre tour de garde) ?</v>
      </c>
      <c r="E167" s="78" t="s">
        <v>628</v>
      </c>
      <c r="F167" s="709">
        <f>'Cpts AR +indép + Sommaire'!E25</f>
        <v>7</v>
      </c>
      <c r="G167" s="709">
        <f>'Cpts AR +indép + Sommaire'!F25</f>
        <v>1</v>
      </c>
      <c r="H167" s="709">
        <f>F167*G167</f>
        <v>7</v>
      </c>
      <c r="I167" s="1350">
        <v>7</v>
      </c>
      <c r="J167" s="1343">
        <v>10</v>
      </c>
      <c r="K167" s="31" t="b">
        <f>IF(AND(F167&gt;=I167,F167&lt;=J167),TRUE,FALSE)</f>
        <v>1</v>
      </c>
      <c r="L167" s="31"/>
      <c r="M167" s="31"/>
      <c r="N167" s="31"/>
      <c r="O167" s="1351"/>
      <c r="P167" s="1374">
        <v>11</v>
      </c>
      <c r="Q167" s="1375">
        <v>11</v>
      </c>
      <c r="R167" s="1351" t="b">
        <f>IF(AND(F167&gt;=P167,F167&lt;=Q167),TRUE,FALSE)</f>
        <v>0</v>
      </c>
      <c r="S167" s="1350">
        <v>4</v>
      </c>
      <c r="T167" s="1343">
        <v>7</v>
      </c>
      <c r="U167" s="1351" t="b">
        <f>IF(AND(F167&gt;=S167,F167&lt;=T167),TRUE,FALSE)</f>
        <v>1</v>
      </c>
      <c r="V167" s="807"/>
      <c r="W167" s="819"/>
      <c r="X167" s="820"/>
      <c r="Y167" s="819"/>
      <c r="Z167" s="820"/>
      <c r="AA167" s="819"/>
      <c r="AB167" s="820"/>
      <c r="AD167" s="10"/>
      <c r="AE167" s="10"/>
      <c r="AF167" s="10"/>
      <c r="AG167" s="832">
        <f>IF($K167=TRUE,H167,0)</f>
        <v>7</v>
      </c>
      <c r="AH167" s="832">
        <f>IF($R167=TRUE,H167,0)</f>
        <v>0</v>
      </c>
      <c r="AI167" s="832">
        <f>IF($U167=TRUE,H167,0)</f>
        <v>7</v>
      </c>
      <c r="AJ167" s="1490">
        <f t="shared" ref="AJ167:AJ168" si="267">IF(OR(I167=11,A167="F"),0,G167*I167)</f>
        <v>7</v>
      </c>
      <c r="AK167" s="1490">
        <f t="shared" ref="AK167:AK168" si="268">IF(OR(J167=11,A167="F"),0,G167*J167)</f>
        <v>10</v>
      </c>
      <c r="AL167" s="1490">
        <f t="shared" ref="AL167:AL168" si="269">IF(OR(P167=11,A167="F"),0,G167*P167)</f>
        <v>0</v>
      </c>
      <c r="AM167" s="1490">
        <f t="shared" ref="AM167:AM168" si="270">IF(OR(Q167=11,A167="F"),0,G167*Q167)</f>
        <v>0</v>
      </c>
      <c r="AN167" s="1490">
        <f t="shared" ref="AN167:AN168" si="271">IF(OR(S167=11,A167="F"),0,S167*G167)</f>
        <v>4</v>
      </c>
      <c r="AO167" s="1490">
        <f t="shared" ref="AO167:AO168" si="272">IF(OR(T167=11,A167="F"),0,T167*G167)</f>
        <v>7</v>
      </c>
      <c r="AY167" s="734"/>
      <c r="AZ167" s="734"/>
      <c r="BA167" s="87"/>
      <c r="BB167" s="442"/>
      <c r="BC167" s="89"/>
      <c r="BD167" s="446"/>
      <c r="BE167" s="446"/>
      <c r="BF167" s="89"/>
      <c r="BG167" s="447"/>
      <c r="BH167" s="447"/>
      <c r="BI167" s="443"/>
    </row>
    <row r="168" spans="1:78" ht="19" x14ac:dyDescent="0.2">
      <c r="B168" s="1702"/>
      <c r="C168" s="379"/>
      <c r="D168" s="25"/>
      <c r="E168" s="78"/>
      <c r="F168" s="709"/>
      <c r="G168" s="708"/>
      <c r="H168" s="709">
        <f>F168*G168</f>
        <v>0</v>
      </c>
      <c r="I168" s="1374">
        <v>11</v>
      </c>
      <c r="J168" s="1375">
        <v>11</v>
      </c>
      <c r="K168" s="31" t="b">
        <f>IF(AND(F168&gt;=I168,F168&lt;=J168),TRUE,FALSE)</f>
        <v>0</v>
      </c>
      <c r="L168" s="31"/>
      <c r="M168" s="31"/>
      <c r="N168" s="31"/>
      <c r="O168" s="1351"/>
      <c r="P168" s="1374">
        <v>11</v>
      </c>
      <c r="Q168" s="1375">
        <v>11</v>
      </c>
      <c r="R168" s="1351" t="b">
        <f>IF(AND(F168&gt;=P168,F168&lt;=Q168),TRUE,FALSE)</f>
        <v>0</v>
      </c>
      <c r="S168" s="1374">
        <v>11</v>
      </c>
      <c r="T168" s="1375">
        <v>11</v>
      </c>
      <c r="U168" s="1351" t="b">
        <f>IF(AND(F168&gt;=S168,F168&lt;=T168),TRUE,FALSE)</f>
        <v>0</v>
      </c>
      <c r="V168" s="807"/>
      <c r="W168" s="821"/>
      <c r="X168" s="822"/>
      <c r="Y168" s="821"/>
      <c r="Z168" s="822"/>
      <c r="AA168" s="821"/>
      <c r="AB168" s="822"/>
      <c r="AD168" s="10"/>
      <c r="AE168" s="10"/>
      <c r="AF168" s="10"/>
      <c r="AG168" s="832">
        <f>IF($K168=TRUE,H168,0)</f>
        <v>0</v>
      </c>
      <c r="AH168" s="832">
        <f>IF($R168=TRUE,H168,0)</f>
        <v>0</v>
      </c>
      <c r="AI168" s="832">
        <f>IF($U168=TRUE,H168,0)</f>
        <v>0</v>
      </c>
      <c r="AJ168" s="1490">
        <f t="shared" si="267"/>
        <v>0</v>
      </c>
      <c r="AK168" s="1490">
        <f t="shared" si="268"/>
        <v>0</v>
      </c>
      <c r="AL168" s="1490">
        <f t="shared" si="269"/>
        <v>0</v>
      </c>
      <c r="AM168" s="1490">
        <f t="shared" si="270"/>
        <v>0</v>
      </c>
      <c r="AN168" s="1490">
        <f t="shared" si="271"/>
        <v>0</v>
      </c>
      <c r="AO168" s="1490">
        <f t="shared" si="272"/>
        <v>0</v>
      </c>
      <c r="AY168" s="734"/>
      <c r="AZ168" s="734"/>
      <c r="BA168" s="87"/>
      <c r="BB168" s="442"/>
      <c r="BC168" s="89"/>
      <c r="BD168" s="446"/>
      <c r="BE168" s="446"/>
      <c r="BF168" s="89"/>
      <c r="BG168" s="447"/>
      <c r="BH168" s="447"/>
      <c r="BI168" s="443"/>
    </row>
    <row r="169" spans="1:78" ht="34" x14ac:dyDescent="0.2">
      <c r="B169" s="1531"/>
      <c r="C169" s="710" t="s">
        <v>609</v>
      </c>
      <c r="D169" s="711" t="str">
        <f>_xlfn.XLOOKUP(H169,H167:H168,D167:D168)</f>
        <v>Arrive-t-il que l'autre parent vous accable de reproches par courriel ou texto au retour des enfants (après votre tour de garde) ?</v>
      </c>
      <c r="E169" s="712" t="str">
        <f>_xlfn.XLOOKUP(H169,H167:H168,E167:E168)</f>
        <v>accable de reproches par courriel ou texto au retour de garde</v>
      </c>
      <c r="F169" s="713"/>
      <c r="G169" s="713"/>
      <c r="H169" s="713">
        <f>IF(AND(K167=TRUE,K168=FALSE),H167,IF(AND(K167=FALSE,K168=TRUE),H168,MAX(H167,H168)))</f>
        <v>7</v>
      </c>
      <c r="I169" s="1352"/>
      <c r="J169" s="714"/>
      <c r="K169" s="715" t="b">
        <f>IF(AND(K167=FALSE,K168=FALSE),FALSE,TRUE)</f>
        <v>1</v>
      </c>
      <c r="L169" s="31"/>
      <c r="M169" s="31"/>
      <c r="N169" s="31"/>
      <c r="O169" s="1351"/>
      <c r="P169" s="1352"/>
      <c r="Q169" s="714"/>
      <c r="R169" s="1365" t="b">
        <f>IF(AND(R167=FALSE,R168=FALSE),FALSE,TRUE)</f>
        <v>0</v>
      </c>
      <c r="S169" s="1352"/>
      <c r="T169" s="714"/>
      <c r="U169" s="1365" t="b">
        <f>IF(AND(U167=FALSE,U168=FALSE),FALSE,TRUE)</f>
        <v>1</v>
      </c>
      <c r="V169" s="807"/>
      <c r="W169" s="821"/>
      <c r="X169" s="822"/>
      <c r="Y169" s="821"/>
      <c r="Z169" s="822"/>
      <c r="AA169" s="821"/>
      <c r="AB169" s="822"/>
      <c r="AD169" s="10"/>
      <c r="AE169" s="10"/>
      <c r="AF169" s="10"/>
      <c r="AG169" s="1740">
        <f>IF($K169=TRUE,MAX(AG167:AG168),0)</f>
        <v>7</v>
      </c>
      <c r="AH169" s="1740">
        <f>IF($R169=TRUE,MAX(AH167:AH168),0)</f>
        <v>0</v>
      </c>
      <c r="AI169" s="1740">
        <f>IF($U169=TRUE,MAX(AI167:AI168),0)</f>
        <v>7</v>
      </c>
      <c r="AJ169" s="1739">
        <f>MAX(AJ167:AJ168)</f>
        <v>7</v>
      </c>
      <c r="AK169" s="1739">
        <f t="shared" ref="AK169" si="273">MAX(AK167:AK168)</f>
        <v>10</v>
      </c>
      <c r="AL169" s="1739">
        <f t="shared" ref="AL169" si="274">MAX(AL167:AL168)</f>
        <v>0</v>
      </c>
      <c r="AM169" s="1739">
        <f t="shared" ref="AM169" si="275">MAX(AM167:AM168)</f>
        <v>0</v>
      </c>
      <c r="AN169" s="1739">
        <f t="shared" ref="AN169" si="276">MAX(AN167:AN168)</f>
        <v>4</v>
      </c>
      <c r="AO169" s="1739">
        <f t="shared" ref="AO169" si="277">MAX(AO167:AO168)</f>
        <v>7</v>
      </c>
      <c r="AY169" s="734"/>
      <c r="AZ169" s="734"/>
      <c r="BA169" s="87"/>
      <c r="BB169" s="442"/>
      <c r="BC169" s="89"/>
      <c r="BD169" s="446"/>
      <c r="BE169" s="446"/>
      <c r="BF169" s="89"/>
      <c r="BG169" s="447"/>
      <c r="BH169" s="447"/>
      <c r="BI169" s="443"/>
    </row>
    <row r="170" spans="1:78" ht="19" x14ac:dyDescent="0.2">
      <c r="B170" s="1700"/>
      <c r="C170" s="38"/>
      <c r="D170" s="25"/>
      <c r="E170" s="78"/>
      <c r="F170" s="709"/>
      <c r="G170" s="708"/>
      <c r="H170" s="709">
        <f>F170*G170</f>
        <v>0</v>
      </c>
      <c r="I170" s="1374">
        <v>11</v>
      </c>
      <c r="J170" s="1375">
        <v>11</v>
      </c>
      <c r="K170" s="31" t="b">
        <f>IF(AND(F170&gt;=I170,F170&lt;=J170),TRUE,FALSE)</f>
        <v>0</v>
      </c>
      <c r="L170" s="31"/>
      <c r="M170" s="31"/>
      <c r="N170" s="31"/>
      <c r="O170" s="1351"/>
      <c r="P170" s="1374">
        <v>11</v>
      </c>
      <c r="Q170" s="1375">
        <v>11</v>
      </c>
      <c r="R170" s="1351" t="b">
        <f>IF(AND(F170&gt;=P170,F170&lt;=Q170),TRUE,FALSE)</f>
        <v>0</v>
      </c>
      <c r="S170" s="1374">
        <v>11</v>
      </c>
      <c r="T170" s="1375">
        <v>11</v>
      </c>
      <c r="U170" s="1351" t="b">
        <f>IF(AND(F170&gt;=S170,F170&lt;=T170),TRUE,FALSE)</f>
        <v>0</v>
      </c>
      <c r="V170" s="807"/>
      <c r="W170" s="821"/>
      <c r="X170" s="822"/>
      <c r="Y170" s="821"/>
      <c r="Z170" s="822"/>
      <c r="AA170" s="821"/>
      <c r="AB170" s="822"/>
      <c r="AD170" s="10"/>
      <c r="AE170" s="10"/>
      <c r="AF170" s="10"/>
      <c r="AG170" s="832">
        <f>IF(K170=TRUE,H170,0)</f>
        <v>0</v>
      </c>
      <c r="AH170" s="832">
        <f>IF(R170=TRUE,H170,0)</f>
        <v>0</v>
      </c>
      <c r="AI170" s="832">
        <f>IF(U170=TRUE,H170,0)</f>
        <v>0</v>
      </c>
      <c r="AJ170" s="1490">
        <f t="shared" ref="AJ170:AJ171" si="278">IF(OR(I170=11,A170="F"),0,G170*I170)</f>
        <v>0</v>
      </c>
      <c r="AK170" s="1490">
        <f t="shared" ref="AK170:AK171" si="279">IF(OR(J170=11,A170="F"),0,G170*J170)</f>
        <v>0</v>
      </c>
      <c r="AL170" s="1490">
        <f t="shared" ref="AL170:AL171" si="280">IF(OR(P170=11,A170="F"),0,G170*P170)</f>
        <v>0</v>
      </c>
      <c r="AM170" s="1490">
        <f t="shared" ref="AM170:AM171" si="281">IF(OR(Q170=11,A170="F"),0,G170*Q170)</f>
        <v>0</v>
      </c>
      <c r="AN170" s="1490">
        <f t="shared" ref="AN170:AN171" si="282">IF(OR(S170=11,A170="F"),0,S170*G170)</f>
        <v>0</v>
      </c>
      <c r="AO170" s="1490">
        <f t="shared" ref="AO170:AO171" si="283">IF(OR(T170=11,A170="F"),0,T170*G170)</f>
        <v>0</v>
      </c>
      <c r="AY170" s="734"/>
      <c r="AZ170" s="734"/>
      <c r="BA170" s="87"/>
      <c r="BB170" s="442"/>
      <c r="BC170" s="89"/>
      <c r="BD170" s="446"/>
      <c r="BE170" s="446"/>
      <c r="BF170" s="89"/>
      <c r="BG170" s="447"/>
      <c r="BH170" s="447"/>
      <c r="BI170" s="443"/>
    </row>
    <row r="171" spans="1:78" ht="19" x14ac:dyDescent="0.2">
      <c r="B171" s="1700"/>
      <c r="C171" s="38"/>
      <c r="D171" s="25"/>
      <c r="E171" s="48"/>
      <c r="F171" s="27"/>
      <c r="G171" s="27"/>
      <c r="H171" s="27">
        <f>F171*G171</f>
        <v>0</v>
      </c>
      <c r="I171" s="1374">
        <v>11</v>
      </c>
      <c r="J171" s="1375">
        <v>11</v>
      </c>
      <c r="K171" s="31" t="b">
        <f>IF(AND(F171&gt;=I171,F171&lt;=J171),TRUE,FALSE)</f>
        <v>0</v>
      </c>
      <c r="L171" s="31"/>
      <c r="M171" s="31"/>
      <c r="N171" s="31"/>
      <c r="O171" s="1351"/>
      <c r="P171" s="1374">
        <v>11</v>
      </c>
      <c r="Q171" s="1375">
        <v>11</v>
      </c>
      <c r="R171" s="1351" t="b">
        <f>IF(AND(F171&gt;=P171,F171&lt;=Q171),TRUE,FALSE)</f>
        <v>0</v>
      </c>
      <c r="S171" s="1374">
        <v>11</v>
      </c>
      <c r="T171" s="1375">
        <v>11</v>
      </c>
      <c r="U171" s="1351" t="b">
        <f>IF(AND(F171&gt;=S171,F171&lt;=T171),TRUE,FALSE)</f>
        <v>0</v>
      </c>
      <c r="V171" s="807"/>
      <c r="W171" s="821"/>
      <c r="X171" s="822"/>
      <c r="Y171" s="821"/>
      <c r="Z171" s="822"/>
      <c r="AA171" s="821"/>
      <c r="AB171" s="822"/>
      <c r="AD171" s="10"/>
      <c r="AE171" s="10"/>
      <c r="AF171" s="10"/>
      <c r="AG171" s="832">
        <f>IF(K171=TRUE,H171,0)</f>
        <v>0</v>
      </c>
      <c r="AH171" s="832">
        <f>IF(R171=TRUE,H171,0)</f>
        <v>0</v>
      </c>
      <c r="AI171" s="832">
        <f>IF(U171=TRUE,H171,0)</f>
        <v>0</v>
      </c>
      <c r="AJ171" s="1490">
        <f t="shared" si="278"/>
        <v>0</v>
      </c>
      <c r="AK171" s="1490">
        <f t="shared" si="279"/>
        <v>0</v>
      </c>
      <c r="AL171" s="1490">
        <f t="shared" si="280"/>
        <v>0</v>
      </c>
      <c r="AM171" s="1490">
        <f t="shared" si="281"/>
        <v>0</v>
      </c>
      <c r="AN171" s="1490">
        <f t="shared" si="282"/>
        <v>0</v>
      </c>
      <c r="AO171" s="1490">
        <f t="shared" si="283"/>
        <v>0</v>
      </c>
      <c r="AV171" s="7"/>
      <c r="AX171" s="7"/>
      <c r="AY171" s="734"/>
      <c r="AZ171" s="734"/>
      <c r="BA171" s="87"/>
      <c r="BB171" s="442"/>
      <c r="BC171" s="89"/>
      <c r="BD171" s="446"/>
      <c r="BE171" s="446"/>
      <c r="BF171" s="89"/>
      <c r="BG171" s="447"/>
      <c r="BH171" s="447"/>
      <c r="BI171" s="443"/>
      <c r="BN171" s="25"/>
      <c r="BP171" s="7"/>
      <c r="BQ171" s="7"/>
      <c r="BR171" s="7"/>
      <c r="BS171" s="7"/>
      <c r="BT171" s="7"/>
      <c r="BU171" s="7"/>
      <c r="BV171" s="7"/>
      <c r="BW171" s="7"/>
      <c r="BX171" s="7"/>
      <c r="BY171" s="7"/>
      <c r="BZ171" s="7"/>
    </row>
    <row r="172" spans="1:78" ht="20" thickBot="1" x14ac:dyDescent="0.25">
      <c r="B172" s="1700"/>
      <c r="C172" s="716" t="s">
        <v>610</v>
      </c>
      <c r="D172" s="717">
        <f>_xlfn.XLOOKUP(H172,H170:H171,D170:D171)</f>
        <v>0</v>
      </c>
      <c r="E172" s="718">
        <f>_xlfn.XLOOKUP(H172,H170:H171,E170:E171)</f>
        <v>0</v>
      </c>
      <c r="F172" s="719"/>
      <c r="G172" s="719"/>
      <c r="H172" s="713">
        <f>IF(AND(K170=TRUE,K171=FALSE),H170,IF(AND(K170=FALSE,K171=TRUE),H171,MAX(H170,H171)))</f>
        <v>0</v>
      </c>
      <c r="I172" s="1353"/>
      <c r="J172" s="720"/>
      <c r="K172" s="721" t="b">
        <f>IF(AND(K170=FALSE,K171=FALSE),FALSE,TRUE)</f>
        <v>0</v>
      </c>
      <c r="L172" s="31"/>
      <c r="M172" s="31"/>
      <c r="N172" s="31"/>
      <c r="O172" s="1351"/>
      <c r="P172" s="1353"/>
      <c r="Q172" s="720"/>
      <c r="R172" s="1366" t="b">
        <f>IF(AND(R170=FALSE,R171=FALSE),FALSE,TRUE)</f>
        <v>0</v>
      </c>
      <c r="S172" s="1353"/>
      <c r="T172" s="720"/>
      <c r="U172" s="1366" t="b">
        <f>IF(AND(U170=FALSE,U171=FALSE),FALSE,TRUE)</f>
        <v>0</v>
      </c>
      <c r="V172" s="807"/>
      <c r="W172" s="821"/>
      <c r="X172" s="822"/>
      <c r="Y172" s="821"/>
      <c r="Z172" s="822"/>
      <c r="AA172" s="821"/>
      <c r="AB172" s="822"/>
      <c r="AD172" s="10"/>
      <c r="AE172" s="10"/>
      <c r="AF172" s="10"/>
      <c r="AG172" s="1740">
        <f>IF($K172=TRUE,MAX(AG170:AG171),0)</f>
        <v>0</v>
      </c>
      <c r="AH172" s="1740">
        <f>IF($R172=TRUE,MAX(AH170:AH171),0)</f>
        <v>0</v>
      </c>
      <c r="AI172" s="1740">
        <f>IF($U172=TRUE,MAX(AI170:AI171),0)</f>
        <v>0</v>
      </c>
      <c r="AJ172" s="1739">
        <f>MAX(AJ170:AJ171)</f>
        <v>0</v>
      </c>
      <c r="AK172" s="1739">
        <f t="shared" ref="AK172" si="284">MAX(AK170:AK171)</f>
        <v>0</v>
      </c>
      <c r="AL172" s="1739">
        <f t="shared" ref="AL172" si="285">MAX(AL170:AL171)</f>
        <v>0</v>
      </c>
      <c r="AM172" s="1739">
        <f t="shared" ref="AM172" si="286">MAX(AM170:AM171)</f>
        <v>0</v>
      </c>
      <c r="AN172" s="1739">
        <f t="shared" ref="AN172" si="287">MAX(AN170:AN171)</f>
        <v>0</v>
      </c>
      <c r="AO172" s="1739">
        <f t="shared" ref="AO172" si="288">MAX(AO170:AO171)</f>
        <v>0</v>
      </c>
      <c r="AV172" s="7"/>
      <c r="AX172" s="7"/>
      <c r="AY172" s="734"/>
      <c r="AZ172" s="734"/>
      <c r="BA172" s="87"/>
      <c r="BB172" s="442"/>
      <c r="BC172" s="89"/>
      <c r="BD172" s="446"/>
      <c r="BE172" s="446"/>
      <c r="BF172" s="89"/>
      <c r="BG172" s="447"/>
      <c r="BH172" s="447"/>
      <c r="BI172" s="443"/>
      <c r="BN172" s="25"/>
      <c r="BP172" s="7"/>
      <c r="BQ172" s="7"/>
      <c r="BR172" s="7"/>
      <c r="BS172" s="7"/>
      <c r="BT172" s="7"/>
      <c r="BU172" s="7"/>
      <c r="BV172" s="7"/>
      <c r="BW172" s="7"/>
      <c r="BX172" s="7"/>
      <c r="BY172" s="7"/>
      <c r="BZ172" s="7"/>
    </row>
    <row r="173" spans="1:78" ht="35" thickBot="1" x14ac:dyDescent="0.25">
      <c r="B173" s="1700"/>
      <c r="C173" s="722" t="s">
        <v>616</v>
      </c>
      <c r="D173" s="723"/>
      <c r="E173" s="723" t="str">
        <f>IF(H173=H169,E169,E172)</f>
        <v>accable de reproches par courriel ou texto au retour de garde</v>
      </c>
      <c r="F173" s="724"/>
      <c r="G173" s="724"/>
      <c r="H173" s="724">
        <f>IF(AND(K169=TRUE,K172=FALSE),H169,IF(AND(K169=FALSE,K172=TRUE),H172,IF(AND(K169=TRUE,K172=TRUE),H169+H172,MAX(H169,H172))))</f>
        <v>7</v>
      </c>
      <c r="I173" s="1354"/>
      <c r="J173" s="725"/>
      <c r="K173" s="726" t="b">
        <f>IF(AND(K169=FALSE,K172=FALSE),FALSE,TRUE)</f>
        <v>1</v>
      </c>
      <c r="L173" s="1338"/>
      <c r="M173" s="1338"/>
      <c r="N173" s="1338"/>
      <c r="O173" s="1355"/>
      <c r="P173" s="1354"/>
      <c r="Q173" s="725"/>
      <c r="R173" s="726" t="b">
        <f>IF(AND(R169=FALSE,R172=FALSE),FALSE,TRUE)</f>
        <v>0</v>
      </c>
      <c r="S173" s="1354"/>
      <c r="T173" s="725"/>
      <c r="U173" s="726" t="b">
        <f>IF(AND(U169=FALSE,U172=FALSE),FALSE,TRUE)</f>
        <v>1</v>
      </c>
      <c r="V173" s="807"/>
      <c r="W173" s="821" t="str">
        <f>IF(K173=TRUE,"V","F")</f>
        <v>V</v>
      </c>
      <c r="X173" s="822"/>
      <c r="Y173" s="821" t="str">
        <f>IF(R173=TRUE,"V","F")</f>
        <v>F</v>
      </c>
      <c r="Z173" s="822"/>
      <c r="AA173" s="821" t="str">
        <f>IF(U173=TRUE,"V","F")</f>
        <v>V</v>
      </c>
      <c r="AB173" s="822"/>
      <c r="AC173" t="str">
        <f>IF(OR(W173="V",Y173="V"),IF(H172&gt;H169,"Le NC contribue plus que le coparent","Le coparent joue un plus grand rôle que le NC"),"pas de contexte significatif de la part du coparent et NC")</f>
        <v>Le coparent joue un plus grand rôle que le NC</v>
      </c>
      <c r="AD173" s="10"/>
      <c r="AE173" s="10"/>
      <c r="AF173" s="10"/>
      <c r="AG173" s="591">
        <f>IF(AND($K169=TRUE,$K172=FALSE),AG169,IF(AND($K169=FALSE,$K172=TRUE),AG172,IF(AND($K169=TRUE,$K172=TRUE),AG169+AG172,0)))</f>
        <v>7</v>
      </c>
      <c r="AH173" s="591">
        <f>IF(AND($R169=TRUE,$R172=FALSE),AH169,IF(AND($R169=FALSE,$R172=TRUE),AH172,IF(AND($R169=TRUE,$R172=TRUE),AH169+AH172,0)))</f>
        <v>0</v>
      </c>
      <c r="AI173" s="591">
        <f>IF(AND($U169=TRUE,$U172=FALSE),AI169,IF(AND($U169=FALSE,$U172=TRUE),AI172,IF(AND($U169=TRUE,$U172=TRUE),AI169+AI172,0)))</f>
        <v>7</v>
      </c>
      <c r="AJ173" s="591">
        <f>IF(AND($K169=TRUE,$K172=FALSE),AJ169,IF(AND($K169=FALSE,$K172=TRUE),AJ172,IF(AND($K169=TRUE,$K172=TRUE),AJ169+AJ172,MAX(AJ169,AJ172))))</f>
        <v>7</v>
      </c>
      <c r="AK173" s="591">
        <f>IF(AND($K169=TRUE,$K172=FALSE),AK169,IF(AND($K169=FALSE,$K172=TRUE),AK172,IF(AND($K169=TRUE,$K172=TRUE),AK169+AK172,MAX(AK169,AK172))))</f>
        <v>10</v>
      </c>
      <c r="AL173" s="591">
        <f t="shared" ref="AL173" si="289">IF(AND($R169=TRUE,$R172=FALSE),AL169,IF(AND($R169=FALSE,$R172=TRUE),AL172,IF(AND($R169=TRUE,$R172=TRUE),AL169+AL172,MAX(AL169,AL172))))</f>
        <v>0</v>
      </c>
      <c r="AM173" s="591">
        <f t="shared" ref="AM173" si="290">IF(AND($R169=TRUE,$R172=FALSE),AM169,IF(AND($R169=FALSE,$R172=TRUE),AM172,IF(AND($R169=TRUE,$R172=TRUE),AM169+AM172,MAX(AM169,AM172))))</f>
        <v>0</v>
      </c>
      <c r="AN173" s="591">
        <f t="shared" ref="AN173" si="291">IF(AND($U169=TRUE,$U172=FALSE),AN169,IF(AND($U169=FALSE,$U172=TRUE),AN172,IF(AND($U169=TRUE,$U172=TRUE),AN169+AN172,MAX(AN169,AN172))))</f>
        <v>4</v>
      </c>
      <c r="AO173" s="591">
        <f t="shared" ref="AO173" si="292">IF(AND($U169=TRUE,$U172=FALSE),AO169,IF(AND($U169=FALSE,$U172=TRUE),AO172,IF(AND($U169=TRUE,$U172=TRUE),AO169+AO172,MAX(AO169,AO172))))</f>
        <v>7</v>
      </c>
      <c r="AV173" s="7"/>
      <c r="AX173" s="7"/>
      <c r="AY173" s="734"/>
      <c r="AZ173" s="734"/>
      <c r="BA173" s="87"/>
      <c r="BB173" s="442"/>
      <c r="BC173" s="89"/>
      <c r="BD173" s="446"/>
      <c r="BE173" s="446"/>
      <c r="BF173" s="89"/>
      <c r="BG173" s="447"/>
      <c r="BH173" s="447"/>
      <c r="BI173" s="443"/>
      <c r="BN173" s="25"/>
      <c r="BP173" s="7"/>
      <c r="BQ173" s="7"/>
      <c r="BR173" s="7"/>
      <c r="BS173" s="7"/>
      <c r="BT173" s="7"/>
      <c r="BU173" s="7"/>
      <c r="BV173" s="7"/>
      <c r="BW173" s="7"/>
      <c r="BX173" s="7"/>
      <c r="BY173" s="7"/>
      <c r="BZ173" s="7"/>
    </row>
    <row r="174" spans="1:78" ht="34" x14ac:dyDescent="0.2">
      <c r="A174" t="str">
        <f>IF(Test_Bible!B312="","F","O")</f>
        <v>O</v>
      </c>
      <c r="B174" s="1700" t="str">
        <f>'Cpts AR +indép + Sommaire'!S25</f>
        <v>Rôle actif de l'enfant</v>
      </c>
      <c r="C174" s="287" t="str">
        <f>'Cpts AR +indép + Sommaire'!O25</f>
        <v>E27</v>
      </c>
      <c r="D174" s="25" t="str">
        <f>'Cpts AR +indép + Sommaire'!P25</f>
        <v>Dans quelle mesure notez-vous un changement au niveau du comportement de votre enfant à son retour de garde ?</v>
      </c>
      <c r="E174" s="78" t="s">
        <v>626</v>
      </c>
      <c r="F174" s="709">
        <f>'Cpts AR +indép + Sommaire'!Q25</f>
        <v>2</v>
      </c>
      <c r="G174" s="709">
        <f>'Cpts AR +indép + Sommaire'!R25</f>
        <v>2</v>
      </c>
      <c r="H174" s="709">
        <f>F174*G174</f>
        <v>4</v>
      </c>
      <c r="I174" s="1350">
        <v>7</v>
      </c>
      <c r="J174" s="1343">
        <v>10</v>
      </c>
      <c r="K174" s="31" t="b">
        <f>IF(AND(F174&gt;=I174,F174&lt;=J174),TRUE,FALSE)</f>
        <v>0</v>
      </c>
      <c r="L174" s="31"/>
      <c r="M174" s="31"/>
      <c r="N174" s="31"/>
      <c r="O174" s="1351"/>
      <c r="P174" s="1350">
        <v>4</v>
      </c>
      <c r="Q174" s="1343">
        <v>7</v>
      </c>
      <c r="R174" s="1351" t="b">
        <f>IF(AND(F174&gt;=P174,F174&lt;=Q174),TRUE,FALSE)</f>
        <v>0</v>
      </c>
      <c r="S174" s="1350"/>
      <c r="T174" s="1343"/>
      <c r="U174" s="1351"/>
      <c r="V174" s="1327"/>
      <c r="W174" s="821" t="s">
        <v>753</v>
      </c>
      <c r="X174" s="822"/>
      <c r="Y174" s="821"/>
      <c r="Z174" s="822"/>
      <c r="AA174" s="821"/>
      <c r="AB174" s="822"/>
      <c r="AD174" s="10"/>
      <c r="AE174" s="10"/>
      <c r="AF174" s="10"/>
      <c r="AG174" s="832">
        <f>IF($K174=TRUE,H174,0)</f>
        <v>0</v>
      </c>
      <c r="AH174" s="832">
        <f>IF($R174=TRUE,H174,0)</f>
        <v>0</v>
      </c>
      <c r="AI174" s="832"/>
      <c r="AJ174" s="1490">
        <f t="shared" ref="AJ174:AJ175" si="293">IF(OR(I174=11,A174="F"),0,G174*I174)</f>
        <v>14</v>
      </c>
      <c r="AK174" s="1490">
        <f t="shared" ref="AK174:AK175" si="294">IF(OR(J174=11,A174="F"),0,G174*J174)</f>
        <v>20</v>
      </c>
      <c r="AL174" s="1490">
        <f t="shared" ref="AL174:AL175" si="295">IF(OR(P174=11,A174="F"),0,G174*P174)</f>
        <v>8</v>
      </c>
      <c r="AM174" s="1490">
        <f t="shared" ref="AM174:AM175" si="296">IF(OR(Q174=11,A174="F"),0,G174*Q174)</f>
        <v>14</v>
      </c>
      <c r="AN174" s="1490">
        <f t="shared" ref="AN174:AN175" si="297">IF(OR(S174=11,A174="F"),0,S174*G174)</f>
        <v>0</v>
      </c>
      <c r="AO174" s="1490">
        <f t="shared" ref="AO174:AO175" si="298">IF(OR(T174=11,A174="F"),0,T174*G174)</f>
        <v>0</v>
      </c>
      <c r="AY174" s="734"/>
      <c r="AZ174" s="734"/>
      <c r="BA174" s="87"/>
      <c r="BB174" s="442"/>
      <c r="BC174" s="89"/>
      <c r="BD174" s="446"/>
      <c r="BE174" s="446"/>
      <c r="BF174" s="89"/>
      <c r="BG174" s="447"/>
      <c r="BH174" s="447"/>
      <c r="BI174" s="443"/>
    </row>
    <row r="175" spans="1:78" ht="52" thickBot="1" x14ac:dyDescent="0.25">
      <c r="A175" t="str">
        <f>IF(Test_Bible!B320="","F","O")</f>
        <v>F</v>
      </c>
      <c r="B175" s="1700" t="str">
        <f>'Cpts AR +indép + Sommaire'!S26</f>
        <v>Rôle actif de l'enfant</v>
      </c>
      <c r="C175" s="287" t="str">
        <f>'Cpts AR +indép + Sommaire'!O26</f>
        <v>E27a1</v>
      </c>
      <c r="D175" s="698" t="str">
        <f>'Cpts AR +indép + Sommaire'!P26</f>
        <v>Au retour d’un séjour chez l’autre parent, votre enfant vous questionne sur vos décisions présentes ou passsées ou vous accable de reproches.</v>
      </c>
      <c r="E175" s="78" t="s">
        <v>627</v>
      </c>
      <c r="F175" s="709">
        <f>'Cpts AR +indép + Sommaire'!Q26</f>
        <v>0</v>
      </c>
      <c r="G175" s="709">
        <f>'Cpts AR +indép + Sommaire'!R26</f>
        <v>3</v>
      </c>
      <c r="H175" s="709">
        <f>F175*G175</f>
        <v>0</v>
      </c>
      <c r="I175" s="1350">
        <v>4</v>
      </c>
      <c r="J175" s="1343">
        <v>10</v>
      </c>
      <c r="K175" s="31" t="b">
        <f>IF(AND(F175&gt;=I175,F175&lt;=J175),TRUE,FALSE)</f>
        <v>0</v>
      </c>
      <c r="L175" s="31"/>
      <c r="M175" s="31"/>
      <c r="N175" s="31"/>
      <c r="O175" s="1351"/>
      <c r="P175" s="1350">
        <v>4</v>
      </c>
      <c r="Q175" s="1343">
        <v>7</v>
      </c>
      <c r="R175" s="1351" t="b">
        <f>IF(AND(F175&gt;=P175,F175&lt;=Q175),TRUE,FALSE)</f>
        <v>0</v>
      </c>
      <c r="S175" s="1374"/>
      <c r="T175" s="1375"/>
      <c r="U175" s="1351"/>
      <c r="V175" s="807"/>
      <c r="W175" s="821"/>
      <c r="X175" s="822"/>
      <c r="Y175" s="821"/>
      <c r="Z175" s="822"/>
      <c r="AA175" s="821"/>
      <c r="AB175" s="822"/>
      <c r="AD175" s="10"/>
      <c r="AE175" s="10"/>
      <c r="AF175" s="10"/>
      <c r="AG175" s="832">
        <f>IF($K175=TRUE,H175,0)</f>
        <v>0</v>
      </c>
      <c r="AH175" s="832">
        <f>IF($R175=TRUE,H175,0)</f>
        <v>0</v>
      </c>
      <c r="AI175" s="832"/>
      <c r="AJ175" s="1490">
        <f t="shared" si="293"/>
        <v>0</v>
      </c>
      <c r="AK175" s="1490">
        <f t="shared" si="294"/>
        <v>0</v>
      </c>
      <c r="AL175" s="1490">
        <f t="shared" si="295"/>
        <v>0</v>
      </c>
      <c r="AM175" s="1490">
        <f t="shared" si="296"/>
        <v>0</v>
      </c>
      <c r="AN175" s="1490">
        <f t="shared" si="297"/>
        <v>0</v>
      </c>
      <c r="AO175" s="1490">
        <f t="shared" si="298"/>
        <v>0</v>
      </c>
      <c r="AY175" s="734"/>
      <c r="AZ175" s="734"/>
      <c r="BA175" s="87"/>
      <c r="BB175" s="442"/>
      <c r="BC175" s="89"/>
      <c r="BD175" s="446"/>
      <c r="BE175" s="446"/>
      <c r="BF175" s="89"/>
      <c r="BG175" s="447"/>
      <c r="BH175" s="447"/>
      <c r="BI175" s="443"/>
    </row>
    <row r="176" spans="1:78" ht="35" thickBot="1" x14ac:dyDescent="0.25">
      <c r="B176" s="1700"/>
      <c r="C176" s="727" t="s">
        <v>611</v>
      </c>
      <c r="D176" s="728" t="str">
        <f>_xlfn.XLOOKUP(H176,H174:H175,D174:D175)</f>
        <v>Dans quelle mesure notez-vous un changement au niveau du comportement de votre enfant à son retour de garde ?</v>
      </c>
      <c r="E176" s="728" t="str">
        <f>_xlfn.XLOOKUP(H176,H174:H175,E174:E175)</f>
        <v>change de comportement à son retour de garde</v>
      </c>
      <c r="F176" s="729"/>
      <c r="G176" s="729"/>
      <c r="H176" s="729">
        <f>IF(AND(K174=TRUE,K175=FALSE),H174,IF(AND(K174=FALSE,K175=TRUE),H175,MAX(H174,H175)))</f>
        <v>4</v>
      </c>
      <c r="I176" s="1356"/>
      <c r="J176" s="730"/>
      <c r="K176" s="731" t="b">
        <f>IF(AND(K174=FALSE,K175=FALSE),FALSE,TRUE)</f>
        <v>0</v>
      </c>
      <c r="L176" s="1339"/>
      <c r="M176" s="1339"/>
      <c r="N176" s="1339"/>
      <c r="O176" s="1357"/>
      <c r="P176" s="1356"/>
      <c r="Q176" s="730"/>
      <c r="R176" s="731" t="b">
        <f>IF(AND(R174=FALSE,R175=FALSE),FALSE,TRUE)</f>
        <v>0</v>
      </c>
      <c r="S176" s="1356"/>
      <c r="T176" s="730"/>
      <c r="U176" s="731"/>
      <c r="V176" s="807"/>
      <c r="W176" s="821" t="str">
        <f>IF(K176=TRUE,"V","F")</f>
        <v>F</v>
      </c>
      <c r="X176" s="822"/>
      <c r="Y176" s="821" t="str">
        <f>IF(R176=TRUE,"V","F")</f>
        <v>F</v>
      </c>
      <c r="Z176" s="822"/>
      <c r="AA176" s="821"/>
      <c r="AB176" s="822"/>
      <c r="AD176" s="10"/>
      <c r="AE176" s="10"/>
      <c r="AF176" s="10"/>
      <c r="AG176" s="1742">
        <f>IF(AND($K174=TRUE,$K175=FALSE),AG174,IF(AND($K174=FALSE,$K175=TRUE),AG175,IF(AND($K174=TRUE,$K175=TRUE),MAX(AG174,AG175),0)))</f>
        <v>0</v>
      </c>
      <c r="AH176" s="1742">
        <f>IF(AND($R174=TRUE,$R175=FALSE),AH174,IF(AND($R174=FALSE,$R175=TRUE),AH175,IF(AND($R174=TRUE,$R175=TRUE),MAX(AH174,AH175),0)))</f>
        <v>0</v>
      </c>
      <c r="AI176" s="1742"/>
      <c r="AJ176" s="1742">
        <f>IF(AND($K174=TRUE,$K175=FALSE),AJ174,IF(AND($K174=FALSE,$K175=TRUE),AJ175,IF(AND($K174=TRUE,$K175=TRUE),MAX(AJ174,AJ175),0)))</f>
        <v>0</v>
      </c>
      <c r="AK176" s="1742">
        <f>IF(AND($K174=TRUE,$K175=FALSE),AK174,IF(AND($K174=FALSE,$K175=TRUE),AK175,IF(AND($K174=TRUE,$K175=TRUE),MAX(AK174,AK175),0)))</f>
        <v>0</v>
      </c>
      <c r="AL176" s="1742">
        <f t="shared" ref="AL176" si="299">IF(AND($R174=TRUE,$R175=FALSE),AL174,IF(AND($R174=FALSE,$R175=TRUE),AL175,IF(AND($R174=TRUE,$R175=TRUE),MAX(AL174,AL175),0)))</f>
        <v>0</v>
      </c>
      <c r="AM176" s="1742">
        <f t="shared" ref="AM176" si="300">IF(AND($R174=TRUE,$R175=FALSE),AM174,IF(AND($R174=FALSE,$R175=TRUE),AM175,IF(AND($R174=TRUE,$R175=TRUE),MAX(AM174,AM175),0)))</f>
        <v>0</v>
      </c>
      <c r="AN176" s="1742"/>
      <c r="AO176" s="1742"/>
      <c r="AY176" s="734"/>
      <c r="AZ176" s="734"/>
      <c r="BA176" s="87"/>
      <c r="BB176" s="442"/>
      <c r="BC176" s="89"/>
      <c r="BD176" s="446"/>
      <c r="BE176" s="446"/>
      <c r="BF176" s="89"/>
      <c r="BG176" s="447"/>
      <c r="BH176" s="447"/>
      <c r="BI176" s="443"/>
    </row>
    <row r="177" spans="1:78" ht="68" x14ac:dyDescent="0.2">
      <c r="B177" s="1700"/>
      <c r="D177" s="386" t="s">
        <v>273</v>
      </c>
      <c r="E177" s="705"/>
      <c r="F177" s="439" t="s">
        <v>349</v>
      </c>
      <c r="G177" s="33"/>
      <c r="H177" s="33">
        <f>IF(AND(K173=TRUE,K176=FALSE),H173,IF(AND(K173=FALSE,K176=TRUE),H176,IF(AND(K173=TRUE,K176=TRUE),H173+H176,MAX(H173,H176))))</f>
        <v>7</v>
      </c>
      <c r="I177" s="1358"/>
      <c r="J177" s="440"/>
      <c r="K177" s="1341"/>
      <c r="L177" s="1342" t="str">
        <f>IF(AND(K176=TRUE,K173=TRUE),E176,"")</f>
        <v/>
      </c>
      <c r="M177" s="1342" t="str">
        <f>IF(AND(K173=TRUE,K176=FALSE),"Bien que le parent "&amp;E173&amp;" l'enfant ne semble pas s'ingérer","")</f>
        <v>Bien que le parent accable de reproches par courriel ou texto au retour de garde l'enfant ne semble pas s'ingérer</v>
      </c>
      <c r="N177" s="1342" t="str">
        <f>IF(AND(K173=FALSE,K176=TRUE),E176&amp;" sans signe de la participation du parent favorisé et|ou nouveau conjoint.e","")</f>
        <v/>
      </c>
      <c r="O177" s="1359" t="str">
        <f>IF(AND(K173=FALSE,K176=FALSE),"aucun comportement significatif de cette nature","")</f>
        <v/>
      </c>
      <c r="P177" s="1358"/>
      <c r="Q177" s="440"/>
      <c r="R177" s="1367"/>
      <c r="S177" s="1358"/>
      <c r="T177" s="440"/>
      <c r="U177" s="1367"/>
      <c r="V177" s="145"/>
      <c r="W177" s="823"/>
      <c r="X177" s="824">
        <f>IF(AND(W173="V",W176="V"),2,IF(OR(W173="V",W176="V"),1,0))</f>
        <v>1</v>
      </c>
      <c r="Y177" s="823"/>
      <c r="Z177" s="824">
        <f>IF(OR(Y173="V",Y176="V"),1,0)</f>
        <v>0</v>
      </c>
      <c r="AA177" s="823"/>
      <c r="AB177" s="824"/>
      <c r="AD177" s="10"/>
      <c r="AE177" s="10"/>
      <c r="AF177" s="10"/>
      <c r="AG177" s="1738">
        <f>IF(AND($W173="V",$W176="F"),AG173,IF(AND($W173="F",$W176="V"),AG176,IF(AND($W173="V",$W176="V"),AG173+AG176,0)))</f>
        <v>7</v>
      </c>
      <c r="AH177" s="1738">
        <f>IF(AND($Y173="V",$Y176="F"),AH173,IF(AND($Y173="F",$Y176="V"),AH176,IF(AND($Y173="V",$Y176="V"),AH173+AH176,0)))</f>
        <v>0</v>
      </c>
      <c r="AI177" s="1738"/>
      <c r="AJ177" s="1738">
        <f>IF(AND($W173="V",$W176="F"),AJ173,IF(AND($W173="F",$W176="V"),AJ176,IF(AND($W173="V",$W176="V"),AJ173+AJ176,0)))</f>
        <v>7</v>
      </c>
      <c r="AK177" s="1738">
        <f>IF(AND($W173="V",$W176="F"),AK173,IF(AND($W173="F",$W176="V"),AK176,IF(AND($W173="V",$W176="V"),AK173+AK176,0)))</f>
        <v>10</v>
      </c>
      <c r="AL177" s="1738">
        <f>IF(AND($Y173="V",$Y176="F"),AL173,IF(AND($Y173="F",$Y176="V"),AL176,IF(AND($Y173="V",$Y176="V"),AL173+AL176,0)))</f>
        <v>0</v>
      </c>
      <c r="AM177" s="1738">
        <f>IF(AND($Y173="V",$Y176="F"),AM173,IF(AND($Y173="F",$Y176="V"),AM176,IF(AND($Y173="V",$Y176="V"),AM173+AM176,0)))</f>
        <v>0</v>
      </c>
      <c r="AN177" s="1738"/>
      <c r="AO177" s="1738"/>
      <c r="AY177" s="734"/>
      <c r="AZ177" s="734"/>
      <c r="BA177" s="87"/>
      <c r="BB177" s="442"/>
      <c r="BC177" s="89"/>
      <c r="BD177" s="446"/>
      <c r="BE177" s="446"/>
      <c r="BF177" s="89"/>
      <c r="BG177" s="447"/>
      <c r="BH177" s="447"/>
      <c r="BI177" s="443"/>
    </row>
    <row r="178" spans="1:78" ht="19" x14ac:dyDescent="0.2">
      <c r="B178" s="1700"/>
      <c r="C178" t="s">
        <v>238</v>
      </c>
      <c r="I178" s="122"/>
      <c r="L178" s="32"/>
      <c r="M178" s="32"/>
      <c r="N178" s="32"/>
      <c r="O178" s="1379"/>
      <c r="P178" s="122"/>
      <c r="R178" s="292"/>
      <c r="S178" s="122"/>
      <c r="U178" s="292"/>
      <c r="V178" s="32"/>
      <c r="W178" s="821"/>
      <c r="X178" s="822"/>
      <c r="Y178" s="821"/>
      <c r="Z178" s="822"/>
      <c r="AA178" s="821"/>
      <c r="AB178" s="822"/>
      <c r="AD178" s="10"/>
      <c r="AE178" s="10"/>
      <c r="AF178" s="10"/>
      <c r="AG178" s="832"/>
      <c r="AH178" s="832"/>
      <c r="AI178" s="832"/>
      <c r="AJ178" s="1490"/>
      <c r="AK178" s="1490"/>
      <c r="AL178" s="1490"/>
      <c r="AM178" s="1490"/>
      <c r="AN178" s="1490"/>
      <c r="AO178" s="1490"/>
      <c r="AY178" s="734"/>
      <c r="AZ178" s="734"/>
      <c r="BA178" s="87"/>
      <c r="BB178" s="442"/>
      <c r="BC178" s="89"/>
      <c r="BD178" s="446"/>
      <c r="BE178" s="446"/>
      <c r="BF178" s="89"/>
      <c r="BG178" s="447"/>
      <c r="BH178" s="447"/>
      <c r="BI178" s="443"/>
    </row>
    <row r="179" spans="1:78" ht="19" x14ac:dyDescent="0.2">
      <c r="B179" s="1700"/>
      <c r="C179" s="825"/>
      <c r="D179" s="826"/>
      <c r="E179" s="826"/>
      <c r="F179" s="830"/>
      <c r="G179" s="830"/>
      <c r="H179" s="830">
        <f>F179*G179</f>
        <v>0</v>
      </c>
      <c r="I179" s="1374">
        <v>11</v>
      </c>
      <c r="J179" s="1375">
        <v>11</v>
      </c>
      <c r="K179" s="31" t="b">
        <f>IF(AND(F179&gt;=I179,F179&lt;=J179),TRUE,FALSE)</f>
        <v>0</v>
      </c>
      <c r="L179" s="26"/>
      <c r="M179" s="26"/>
      <c r="N179" s="26"/>
      <c r="O179" s="1360"/>
      <c r="P179" s="1374">
        <v>11</v>
      </c>
      <c r="Q179" s="1375">
        <v>11</v>
      </c>
      <c r="R179" s="1351" t="b">
        <f>IF(AND(F179&gt;=P179,F179&lt;=Q179),TRUE,FALSE)</f>
        <v>0</v>
      </c>
      <c r="S179" s="1374">
        <v>11</v>
      </c>
      <c r="T179" s="1375">
        <v>11</v>
      </c>
      <c r="U179" s="1351" t="b">
        <f>IF(AND(F179&gt;=S179,F179&lt;=T179),TRUE,FALSE)</f>
        <v>0</v>
      </c>
      <c r="V179" s="32"/>
      <c r="W179" s="821"/>
      <c r="X179" s="822"/>
      <c r="Y179" s="821"/>
      <c r="Z179" s="822"/>
      <c r="AA179" s="821"/>
      <c r="AB179" s="822"/>
      <c r="AD179" s="10"/>
      <c r="AE179" s="10"/>
      <c r="AF179" s="10"/>
      <c r="AG179" s="832">
        <f>IF($K179=TRUE,H179,0)</f>
        <v>0</v>
      </c>
      <c r="AH179" s="832">
        <f>IF($R179=TRUE,H179,0)</f>
        <v>0</v>
      </c>
      <c r="AI179" s="832">
        <f>IF($U179=TRUE,H179,0)</f>
        <v>0</v>
      </c>
      <c r="AJ179" s="1490">
        <f t="shared" ref="AJ179:AJ180" si="301">IF(OR(I179=11,A179="F"),0,G179*I179)</f>
        <v>0</v>
      </c>
      <c r="AK179" s="1490">
        <f t="shared" ref="AK179:AK180" si="302">IF(OR(J179=11,A179="F"),0,G179*J179)</f>
        <v>0</v>
      </c>
      <c r="AL179" s="1490">
        <f t="shared" ref="AL179:AL180" si="303">IF(OR(P179=11,A179="F"),0,G179*P179)</f>
        <v>0</v>
      </c>
      <c r="AM179" s="1490">
        <f t="shared" ref="AM179:AM180" si="304">IF(OR(Q179=11,A179="F"),0,G179*Q179)</f>
        <v>0</v>
      </c>
      <c r="AN179" s="1490">
        <f t="shared" ref="AN179:AN180" si="305">IF(OR(S179=11,A179="F"),0,S179*G179)</f>
        <v>0</v>
      </c>
      <c r="AO179" s="1490">
        <f t="shared" ref="AO179:AO180" si="306">IF(OR(T179=11,A179="F"),0,T179*G179)</f>
        <v>0</v>
      </c>
      <c r="AY179" s="734"/>
      <c r="AZ179" s="734"/>
      <c r="BA179" s="87"/>
      <c r="BB179" s="442"/>
      <c r="BC179" s="89"/>
      <c r="BD179" s="446"/>
      <c r="BE179" s="446"/>
      <c r="BF179" s="89"/>
      <c r="BG179" s="447"/>
      <c r="BH179" s="447"/>
      <c r="BI179" s="443"/>
    </row>
    <row r="180" spans="1:78" ht="52" thickBot="1" x14ac:dyDescent="0.25">
      <c r="A180" t="str">
        <f>IF(Test_Bible!B126="","F","O")</f>
        <v>O</v>
      </c>
      <c r="B180" s="1700" t="e">
        <f>#REF!</f>
        <v>#REF!</v>
      </c>
      <c r="C180" s="825" t="str">
        <f>'Cpts AR +indép + Sommaire'!U25</f>
        <v>PCR06</v>
      </c>
      <c r="D180" s="836" t="str">
        <f>'Cpts AR +indép + Sommaire'!V25</f>
        <v xml:space="preserve">Vous faites un retour sur les interventions de l'autre parent (nutrition, hygiène, logistique, etc.) au retour des enfants, par courriel ou message texte. </v>
      </c>
      <c r="E180" s="826"/>
      <c r="F180" s="830">
        <f>'Cpts AR +indép + Sommaire'!W25</f>
        <v>2</v>
      </c>
      <c r="G180" s="830">
        <f>'Cpts AR +indép + Sommaire'!X25</f>
        <v>1</v>
      </c>
      <c r="H180" s="830">
        <f>F180*G180</f>
        <v>2</v>
      </c>
      <c r="I180" s="1350">
        <v>4</v>
      </c>
      <c r="J180" s="1343">
        <v>10</v>
      </c>
      <c r="K180" s="31" t="b">
        <f>IF(AND(F180&gt;=I180,F180&lt;=J180),TRUE,FALSE)</f>
        <v>0</v>
      </c>
      <c r="L180" s="26"/>
      <c r="M180" s="26"/>
      <c r="N180" s="26"/>
      <c r="O180" s="1360"/>
      <c r="P180" s="1374">
        <v>11</v>
      </c>
      <c r="Q180" s="1375">
        <v>11</v>
      </c>
      <c r="R180" s="1351" t="b">
        <f>IF(AND(F180&gt;=P180,F180&lt;=Q180),TRUE,FALSE)</f>
        <v>0</v>
      </c>
      <c r="S180" s="1350">
        <v>4</v>
      </c>
      <c r="T180" s="1343">
        <v>10</v>
      </c>
      <c r="U180" s="1351" t="b">
        <f>IF(AND(F180&gt;=S180,F180&lt;=T180),TRUE,FALSE)</f>
        <v>0</v>
      </c>
      <c r="W180" s="821"/>
      <c r="X180" s="822"/>
      <c r="Y180" s="821"/>
      <c r="Z180" s="822"/>
      <c r="AA180" s="821"/>
      <c r="AB180" s="822"/>
      <c r="AD180" s="10"/>
      <c r="AE180" s="10"/>
      <c r="AF180" s="10"/>
      <c r="AG180" s="832">
        <f>IF($K180=TRUE,H180,0)</f>
        <v>0</v>
      </c>
      <c r="AH180" s="832">
        <f>IF($R180=TRUE,H180,0)</f>
        <v>0</v>
      </c>
      <c r="AI180" s="832">
        <f>IF($U180=TRUE,H180,0)</f>
        <v>0</v>
      </c>
      <c r="AJ180" s="1490">
        <f t="shared" si="301"/>
        <v>4</v>
      </c>
      <c r="AK180" s="1490">
        <f t="shared" si="302"/>
        <v>10</v>
      </c>
      <c r="AL180" s="1490">
        <f t="shared" si="303"/>
        <v>0</v>
      </c>
      <c r="AM180" s="1490">
        <f t="shared" si="304"/>
        <v>0</v>
      </c>
      <c r="AN180" s="1490">
        <f t="shared" si="305"/>
        <v>4</v>
      </c>
      <c r="AO180" s="1490">
        <f t="shared" si="306"/>
        <v>10</v>
      </c>
      <c r="AY180" s="734"/>
      <c r="AZ180" s="734"/>
      <c r="BA180" s="87"/>
      <c r="BB180" s="442"/>
      <c r="BC180" s="89"/>
      <c r="BD180" s="446"/>
      <c r="BE180" s="446"/>
      <c r="BF180" s="89"/>
      <c r="BG180" s="447"/>
      <c r="BH180" s="447"/>
      <c r="BI180" s="443"/>
    </row>
    <row r="181" spans="1:78" ht="27" thickBot="1" x14ac:dyDescent="0.35">
      <c r="C181" s="7"/>
      <c r="D181" s="272"/>
      <c r="E181" s="272"/>
      <c r="F181" s="67"/>
      <c r="G181" s="16"/>
      <c r="H181" s="33">
        <f>IF(AND(K179=TRUE,K180=FALSE),H179,IF(AND(K179=FALSE,K180=TRUE),H180,MAX(H179,H180)))</f>
        <v>2</v>
      </c>
      <c r="I181" s="1371"/>
      <c r="J181" s="1372"/>
      <c r="K181" s="1378" t="b">
        <f>IF(AND(K179=FALSE,K180=FALSE),FALSE,TRUE)</f>
        <v>0</v>
      </c>
      <c r="L181" s="1361"/>
      <c r="M181" s="1362"/>
      <c r="N181" s="1362"/>
      <c r="O181" s="1363"/>
      <c r="P181" s="1371"/>
      <c r="Q181" s="1372"/>
      <c r="R181" s="1378" t="b">
        <f>IF(AND(R179=FALSE,R180=FALSE),FALSE,TRUE)</f>
        <v>0</v>
      </c>
      <c r="S181" s="1383"/>
      <c r="T181" s="1384"/>
      <c r="U181" s="1385" t="b">
        <f>IF(AND(U179=FALSE,U180=FALSE),FALSE,TRUE)</f>
        <v>0</v>
      </c>
      <c r="V181" s="145"/>
      <c r="W181" s="821" t="str">
        <f>IF(K181=TRUE,"V","F")</f>
        <v>F</v>
      </c>
      <c r="X181" s="822"/>
      <c r="Y181" s="821" t="str">
        <f>IF(R181=TRUE,"V","F")</f>
        <v>F</v>
      </c>
      <c r="Z181" s="822"/>
      <c r="AA181" s="821" t="str">
        <f>IF(U181=TRUE,"V","F")</f>
        <v>F</v>
      </c>
      <c r="AB181" s="822"/>
      <c r="AD181" s="10"/>
      <c r="AE181" s="10"/>
      <c r="AF181" s="10"/>
      <c r="AG181" s="1742">
        <f>IF(AND($K179=TRUE,$K180=FALSE),AG179,IF(AND($K179=FALSE,$K180=TRUE),AG180,MAX(AG179,AG180)))</f>
        <v>0</v>
      </c>
      <c r="AH181" s="1742">
        <f>IF(AND($R179=TRUE,$R180=FALSE),AH179,IF(AND($R179=FALSE,$R180=TRUE),AH180,MAX(AH179,AH180)))</f>
        <v>0</v>
      </c>
      <c r="AI181" s="1742">
        <f>IF(AND($U179=TRUE,$U180=FALSE),AI179,IF(AND($U179=FALSE,$U180=TRUE),AI180,MAX(AI179,AI180)))</f>
        <v>0</v>
      </c>
      <c r="AJ181" s="1742">
        <f>IF(AND($K179=TRUE,$K180=FALSE),AJ179,IF(AND($K179=FALSE,$K180=TRUE),AJ180,MAX(AJ179,AJ180)))</f>
        <v>4</v>
      </c>
      <c r="AK181" s="1742">
        <f>IF(AND($K179=TRUE,$K180=FALSE),AK179,IF(AND($K179=FALSE,$K180=TRUE),AK180,MAX(AK179,AK180)))</f>
        <v>10</v>
      </c>
      <c r="AL181" s="1742">
        <f>IF(AND($R179=TRUE,$R180=FALSE),AL179,IF(AND($R179=FALSE,$R180=TRUE),AL180,MAX(AL179,AL180)))</f>
        <v>0</v>
      </c>
      <c r="AM181" s="1742">
        <f>IF(AND($R179=TRUE,$R180=FALSE),AM179,IF(AND($R179=FALSE,$R180=TRUE),AM180,MAX(AM179,AM180)))</f>
        <v>0</v>
      </c>
      <c r="AN181" s="1742">
        <f>IF(AND($U179=TRUE,$U180=FALSE),AN179,IF(AND($U179=FALSE,$U180=TRUE),AN180,MAX(AN179,AN180)))</f>
        <v>4</v>
      </c>
      <c r="AO181" s="1742">
        <f>IF(AND($U179=TRUE,$U180=FALSE),AO179,IF(AND($U179=FALSE,$U180=TRUE),AO180,MAX(AO179,AO180)))</f>
        <v>10</v>
      </c>
      <c r="AY181" s="734"/>
      <c r="AZ181" s="734"/>
      <c r="BA181" s="87"/>
      <c r="BB181" s="442"/>
      <c r="BC181" s="89"/>
      <c r="BD181" s="446"/>
      <c r="BE181" s="446"/>
      <c r="BF181" s="89"/>
      <c r="BG181" s="447"/>
      <c r="BH181" s="447"/>
      <c r="BI181" s="443"/>
    </row>
    <row r="182" spans="1:78" ht="27" thickBot="1" x14ac:dyDescent="0.35">
      <c r="D182" s="16"/>
      <c r="E182" s="16"/>
      <c r="F182" s="67"/>
      <c r="G182" s="438"/>
      <c r="H182" s="438"/>
      <c r="I182" s="8"/>
      <c r="J182" s="8"/>
      <c r="K182" s="808"/>
      <c r="L182" s="809"/>
      <c r="M182" s="809"/>
      <c r="N182" s="809"/>
      <c r="O182" s="809"/>
      <c r="P182" s="809"/>
      <c r="Q182" s="809"/>
      <c r="R182" s="809"/>
      <c r="S182" s="809"/>
      <c r="T182" s="809"/>
      <c r="U182" s="809"/>
      <c r="V182" s="809"/>
      <c r="W182" s="2154"/>
      <c r="X182" s="2155">
        <f>IF(AND(W181="V",W173="V"),X177-1,X177)</f>
        <v>1</v>
      </c>
      <c r="Y182" s="2154"/>
      <c r="Z182" s="2155">
        <f>IF(OR(Y173="V",Y176="V",Y181="V"),1,0)</f>
        <v>0</v>
      </c>
      <c r="AA182" s="2154"/>
      <c r="AB182" s="2155">
        <f>IF(AA173="V",1,IF(AA181="V",1,0))</f>
        <v>1</v>
      </c>
      <c r="AD182" s="10">
        <f>X182</f>
        <v>1</v>
      </c>
      <c r="AE182" s="10">
        <f>Z182</f>
        <v>0</v>
      </c>
      <c r="AF182" s="10">
        <f>AB182</f>
        <v>1</v>
      </c>
      <c r="AG182" s="1741">
        <f>IF($W181="F",AG177,AG177+AG181)</f>
        <v>7</v>
      </c>
      <c r="AH182" s="1741">
        <f>IF($Y181="F",AH177,AH177+AH181)</f>
        <v>0</v>
      </c>
      <c r="AI182" s="1741">
        <f>IF(AND($AA173="V",$AA181="F"),AI173,IF(AND($AA173="F",$AA181="V"),AI181,IF(AND($AA173="V",$AA181="V"),AI173+AI181,0)))</f>
        <v>7</v>
      </c>
      <c r="AJ182" s="1741">
        <f>IF($W181="F",AJ177,AJ177+AJ181)</f>
        <v>7</v>
      </c>
      <c r="AK182" s="1741">
        <f t="shared" ref="AK182" si="307">IF($W181="F",AK177,AK177+AK181)</f>
        <v>10</v>
      </c>
      <c r="AL182" s="1741">
        <f t="shared" ref="AL182" si="308">IF($Y181="F",AL177,AL177+AL181)</f>
        <v>0</v>
      </c>
      <c r="AM182" s="1741">
        <f t="shared" ref="AM182" si="309">IF($Y181="F",AM177,AM177+AM181)</f>
        <v>0</v>
      </c>
      <c r="AN182" s="1741">
        <f t="shared" ref="AN182" si="310">IF(AND($AA173="V",$AA181="F"),AN173,IF(AND($AA173="F",$AA181="V"),AN181,IF(AND($AA173="V",$AA181="V"),AN173+AN181,0)))</f>
        <v>4</v>
      </c>
      <c r="AO182" s="1741">
        <f t="shared" ref="AO182" si="311">IF(AND($AA173="V",$AA181="F"),AO173,IF(AND($AA173="F",$AA181="V"),AO181,IF(AND($AA173="V",$AA181="V"),AO173+AO181,0)))</f>
        <v>7</v>
      </c>
      <c r="AY182" s="734"/>
      <c r="AZ182" s="734"/>
      <c r="BA182" s="87"/>
      <c r="BB182" s="442"/>
      <c r="BC182" s="89"/>
      <c r="BD182" s="446"/>
      <c r="BE182" s="446"/>
      <c r="BF182" s="89"/>
      <c r="BG182" s="447"/>
      <c r="BH182" s="447"/>
      <c r="BI182" s="443"/>
    </row>
    <row r="183" spans="1:78" x14ac:dyDescent="0.3">
      <c r="D183" s="16"/>
      <c r="E183" s="16"/>
      <c r="F183" s="67"/>
      <c r="G183" s="438"/>
      <c r="H183" s="438"/>
      <c r="I183" s="2609" t="s">
        <v>1090</v>
      </c>
      <c r="J183" s="2610"/>
      <c r="K183" s="2611"/>
      <c r="L183" s="2603"/>
      <c r="M183" s="2603"/>
      <c r="N183" s="2603"/>
      <c r="O183" s="1347"/>
      <c r="P183" s="2606" t="s">
        <v>1089</v>
      </c>
      <c r="Q183" s="2607"/>
      <c r="R183" s="2608"/>
      <c r="S183" s="1394" t="s">
        <v>1088</v>
      </c>
      <c r="T183" s="1346"/>
      <c r="U183" s="1347"/>
      <c r="V183" s="145"/>
      <c r="W183" s="2156"/>
      <c r="X183" s="2157"/>
      <c r="Y183" s="2158"/>
      <c r="Z183" s="2158"/>
      <c r="AA183" s="2158"/>
      <c r="AB183" s="2158"/>
      <c r="AD183" s="10"/>
      <c r="AE183" s="10"/>
      <c r="AF183" s="10"/>
      <c r="AY183" s="734"/>
      <c r="AZ183" s="734"/>
      <c r="BA183" s="87"/>
      <c r="BB183" s="442"/>
      <c r="BC183" s="89"/>
      <c r="BD183" s="446"/>
      <c r="BE183" s="446"/>
      <c r="BF183" s="89"/>
      <c r="BG183" s="447"/>
      <c r="BH183" s="447"/>
      <c r="BI183" s="443"/>
    </row>
    <row r="184" spans="1:78" x14ac:dyDescent="0.3">
      <c r="B184" s="1699">
        <v>8</v>
      </c>
      <c r="D184" s="441" t="str">
        <f>'Cpts AR +indép + Sommaire'!B28</f>
        <v>Réaction en présence des deux parents</v>
      </c>
      <c r="E184" s="84"/>
      <c r="F184" s="50"/>
      <c r="G184" s="18"/>
      <c r="H184" s="18"/>
      <c r="I184" s="2595" t="s">
        <v>604</v>
      </c>
      <c r="J184" s="2596"/>
      <c r="K184" s="2596"/>
      <c r="L184" s="2597" t="s">
        <v>1086</v>
      </c>
      <c r="M184" s="2597"/>
      <c r="N184" s="2597"/>
      <c r="O184" s="2598"/>
      <c r="P184" s="2599" t="s">
        <v>603</v>
      </c>
      <c r="Q184" s="2600"/>
      <c r="R184" s="2601"/>
      <c r="S184" s="2590" t="s">
        <v>605</v>
      </c>
      <c r="T184" s="2591"/>
      <c r="U184" s="2592"/>
      <c r="V184" s="15"/>
      <c r="W184" s="817"/>
      <c r="X184" s="817"/>
      <c r="Y184" s="817"/>
      <c r="Z184" s="817"/>
      <c r="AA184" s="817"/>
      <c r="AB184" s="818"/>
      <c r="AC184" s="9"/>
      <c r="AD184" s="10"/>
      <c r="AE184" s="10"/>
      <c r="AF184" s="10"/>
      <c r="AG184" s="1386" t="s">
        <v>604</v>
      </c>
      <c r="AH184" s="1386" t="s">
        <v>603</v>
      </c>
      <c r="AI184" s="1386" t="s">
        <v>605</v>
      </c>
      <c r="AJ184" s="2589" t="s">
        <v>604</v>
      </c>
      <c r="AK184" s="2589"/>
      <c r="AL184" s="2589" t="s">
        <v>603</v>
      </c>
      <c r="AM184" s="2589"/>
      <c r="AN184" s="2589" t="s">
        <v>605</v>
      </c>
      <c r="AO184" s="2589"/>
      <c r="AY184" s="734"/>
      <c r="AZ184" s="734"/>
      <c r="BA184" s="87"/>
      <c r="BB184" s="442"/>
      <c r="BC184" s="89"/>
      <c r="BD184" s="446"/>
      <c r="BE184" s="446"/>
      <c r="BF184" s="89"/>
      <c r="BG184" s="447"/>
      <c r="BH184" s="447"/>
      <c r="BI184" s="443"/>
    </row>
    <row r="185" spans="1:78" ht="34" x14ac:dyDescent="0.2">
      <c r="B185" s="1700"/>
      <c r="D185" s="79" t="s">
        <v>779</v>
      </c>
      <c r="E185" s="835" t="s">
        <v>778</v>
      </c>
      <c r="F185" s="26" t="s">
        <v>226</v>
      </c>
      <c r="G185" s="26" t="s">
        <v>22</v>
      </c>
      <c r="H185" s="26" t="s">
        <v>612</v>
      </c>
      <c r="I185" s="1348" t="s">
        <v>269</v>
      </c>
      <c r="J185" s="29" t="s">
        <v>270</v>
      </c>
      <c r="K185" s="29" t="s">
        <v>271</v>
      </c>
      <c r="L185" s="29" t="s">
        <v>363</v>
      </c>
      <c r="M185" s="29" t="s">
        <v>339</v>
      </c>
      <c r="N185" s="29" t="s">
        <v>340</v>
      </c>
      <c r="O185" s="1349" t="s">
        <v>341</v>
      </c>
      <c r="P185" s="1348" t="s">
        <v>269</v>
      </c>
      <c r="Q185" s="29" t="s">
        <v>270</v>
      </c>
      <c r="R185" s="1349" t="s">
        <v>271</v>
      </c>
      <c r="S185" s="1348" t="s">
        <v>269</v>
      </c>
      <c r="T185" s="29" t="s">
        <v>270</v>
      </c>
      <c r="U185" s="1349" t="s">
        <v>271</v>
      </c>
      <c r="V185" s="736"/>
      <c r="W185" s="827" t="s">
        <v>604</v>
      </c>
      <c r="X185" s="828" t="s">
        <v>754</v>
      </c>
      <c r="Y185" s="827" t="s">
        <v>603</v>
      </c>
      <c r="Z185" s="828" t="s">
        <v>755</v>
      </c>
      <c r="AA185" s="827" t="s">
        <v>605</v>
      </c>
      <c r="AB185" s="828" t="s">
        <v>756</v>
      </c>
      <c r="AD185" s="10"/>
      <c r="AE185" s="10"/>
      <c r="AF185" s="10"/>
      <c r="AG185" s="10"/>
      <c r="AH185" s="10"/>
      <c r="AI185" s="10"/>
      <c r="AJ185" s="1490" t="s">
        <v>1058</v>
      </c>
      <c r="AK185" s="1490" t="s">
        <v>1059</v>
      </c>
      <c r="AL185" s="1490" t="s">
        <v>1058</v>
      </c>
      <c r="AM185" s="1490" t="s">
        <v>1059</v>
      </c>
      <c r="AN185" s="1490" t="s">
        <v>1058</v>
      </c>
      <c r="AO185" s="1490" t="s">
        <v>1059</v>
      </c>
      <c r="AY185" s="734"/>
      <c r="AZ185" s="734"/>
      <c r="BA185" s="87"/>
      <c r="BB185" s="442"/>
      <c r="BC185" s="89"/>
      <c r="BD185" s="446"/>
      <c r="BE185" s="446"/>
      <c r="BF185" s="89"/>
      <c r="BG185" s="447"/>
      <c r="BH185" s="447"/>
      <c r="BI185" s="443"/>
    </row>
    <row r="186" spans="1:78" ht="34" x14ac:dyDescent="0.2">
      <c r="A186" t="str">
        <f>IF(Test_Bible!B182="","F","O")</f>
        <v>O</v>
      </c>
      <c r="B186" s="1531" t="str">
        <f>'Cpts AR +indép + Sommaire'!G28</f>
        <v>Chantage affectif, manipulation</v>
      </c>
      <c r="C186" s="379" t="str">
        <f>'Cpts AR +indép + Sommaire'!C28</f>
        <v>PFA10</v>
      </c>
      <c r="D186" s="25" t="str">
        <f>'Cpts AR +indép + Sommaire'!D28</f>
        <v>L’autre parent vous salue lors de changements de garde, à l'école ou lors d'événements culturels ou sportifs.</v>
      </c>
      <c r="E186" s="78" t="s">
        <v>1540</v>
      </c>
      <c r="F186" s="709">
        <f>'Cpts AR +indép + Sommaire'!E28</f>
        <v>4</v>
      </c>
      <c r="G186" s="709">
        <f>'Cpts AR +indép + Sommaire'!F28</f>
        <v>1</v>
      </c>
      <c r="H186" s="709">
        <f>F186*G186</f>
        <v>4</v>
      </c>
      <c r="I186" s="1350">
        <v>7</v>
      </c>
      <c r="J186" s="1343">
        <v>10</v>
      </c>
      <c r="K186" s="31" t="b">
        <f>IF(AND(F186&gt;=I186,F186&lt;=J186),TRUE,FALSE)</f>
        <v>0</v>
      </c>
      <c r="L186" s="31"/>
      <c r="M186" s="31"/>
      <c r="N186" s="31"/>
      <c r="O186" s="1351"/>
      <c r="P186" s="1350">
        <v>2</v>
      </c>
      <c r="Q186" s="1343">
        <v>10</v>
      </c>
      <c r="R186" s="1351" t="b">
        <f>IF(AND(F186&gt;=P186,F186&lt;=Q186),TRUE,FALSE)</f>
        <v>1</v>
      </c>
      <c r="S186" s="1350">
        <v>4</v>
      </c>
      <c r="T186" s="1343">
        <v>7</v>
      </c>
      <c r="U186" s="1351" t="b">
        <f>IF(AND(F186&gt;=S186,F186&lt;=T186),TRUE,FALSE)</f>
        <v>1</v>
      </c>
      <c r="V186" s="807"/>
      <c r="W186" s="819"/>
      <c r="X186" s="820"/>
      <c r="Y186" s="819"/>
      <c r="Z186" s="820"/>
      <c r="AA186" s="819"/>
      <c r="AB186" s="820"/>
      <c r="AD186" s="10"/>
      <c r="AE186" s="10"/>
      <c r="AF186" s="10"/>
      <c r="AG186" s="832">
        <f>IF($K186=TRUE,H186,0)</f>
        <v>0</v>
      </c>
      <c r="AH186" s="832">
        <f>IF($R186=TRUE,H186,0)</f>
        <v>4</v>
      </c>
      <c r="AI186" s="832">
        <f>IF($U186=TRUE,H186,0)</f>
        <v>4</v>
      </c>
      <c r="AJ186" s="1490">
        <f t="shared" ref="AJ186:AJ187" si="312">IF(OR(I186=11,A186="F"),0,G186*I186)</f>
        <v>7</v>
      </c>
      <c r="AK186" s="1490">
        <f t="shared" ref="AK186:AK187" si="313">IF(OR(J186=11,A186="F"),0,G186*J186)</f>
        <v>10</v>
      </c>
      <c r="AL186" s="1490">
        <f t="shared" ref="AL186:AL187" si="314">IF(OR(P186=11,A186="F"),0,G186*P186)</f>
        <v>2</v>
      </c>
      <c r="AM186" s="1490">
        <f t="shared" ref="AM186:AM187" si="315">IF(OR(Q186=11,A186="F"),0,G186*Q186)</f>
        <v>10</v>
      </c>
      <c r="AN186" s="1490">
        <f t="shared" ref="AN186:AN187" si="316">IF(OR(S186=11,A186="F"),0,S186*G186)</f>
        <v>4</v>
      </c>
      <c r="AO186" s="1490">
        <f t="shared" ref="AO186:AO187" si="317">IF(OR(T186=11,A186="F"),0,T186*G186)</f>
        <v>7</v>
      </c>
      <c r="AY186" s="734"/>
      <c r="AZ186" s="734"/>
      <c r="BA186" s="87"/>
      <c r="BB186" s="442"/>
      <c r="BC186" s="89"/>
      <c r="BD186" s="446"/>
      <c r="BE186" s="446"/>
      <c r="BF186" s="89"/>
      <c r="BG186" s="447"/>
      <c r="BH186" s="447"/>
      <c r="BI186" s="443"/>
    </row>
    <row r="187" spans="1:78" ht="19" x14ac:dyDescent="0.2">
      <c r="B187" s="1702"/>
      <c r="C187" s="379" t="s">
        <v>260</v>
      </c>
      <c r="D187" s="25"/>
      <c r="E187" s="78"/>
      <c r="F187" s="709"/>
      <c r="G187" s="708"/>
      <c r="H187" s="709">
        <f>F187*G187</f>
        <v>0</v>
      </c>
      <c r="I187" s="1374">
        <v>11</v>
      </c>
      <c r="J187" s="1375">
        <v>11</v>
      </c>
      <c r="K187" s="31" t="b">
        <f>IF(AND(F187&gt;=I187,F187&lt;=J187),TRUE,FALSE)</f>
        <v>0</v>
      </c>
      <c r="L187" s="31"/>
      <c r="M187" s="31"/>
      <c r="N187" s="31"/>
      <c r="O187" s="1351"/>
      <c r="P187" s="1374">
        <v>11</v>
      </c>
      <c r="Q187" s="1375">
        <v>11</v>
      </c>
      <c r="R187" s="1351" t="b">
        <f>IF(AND(F187&gt;=P187,F187&lt;=Q187),TRUE,FALSE)</f>
        <v>0</v>
      </c>
      <c r="S187" s="1374">
        <v>11</v>
      </c>
      <c r="T187" s="1375">
        <v>11</v>
      </c>
      <c r="U187" s="1351" t="b">
        <f>IF(AND(F187&gt;=S187,F187&lt;=T187),TRUE,FALSE)</f>
        <v>0</v>
      </c>
      <c r="V187" s="807"/>
      <c r="W187" s="821"/>
      <c r="X187" s="822"/>
      <c r="Y187" s="821"/>
      <c r="Z187" s="822"/>
      <c r="AA187" s="821"/>
      <c r="AB187" s="822"/>
      <c r="AD187" s="10"/>
      <c r="AE187" s="10"/>
      <c r="AF187" s="10"/>
      <c r="AG187" s="832">
        <f>IF($K187=TRUE,H187,0)</f>
        <v>0</v>
      </c>
      <c r="AH187" s="832">
        <f>IF($R187=TRUE,H187,0)</f>
        <v>0</v>
      </c>
      <c r="AI187" s="832">
        <f>IF($U187=TRUE,H187,0)</f>
        <v>0</v>
      </c>
      <c r="AJ187" s="1490">
        <f t="shared" si="312"/>
        <v>0</v>
      </c>
      <c r="AK187" s="1490">
        <f t="shared" si="313"/>
        <v>0</v>
      </c>
      <c r="AL187" s="1490">
        <f t="shared" si="314"/>
        <v>0</v>
      </c>
      <c r="AM187" s="1490">
        <f t="shared" si="315"/>
        <v>0</v>
      </c>
      <c r="AN187" s="1490">
        <f t="shared" si="316"/>
        <v>0</v>
      </c>
      <c r="AO187" s="1490">
        <f t="shared" si="317"/>
        <v>0</v>
      </c>
      <c r="AY187" s="734"/>
      <c r="AZ187" s="734"/>
      <c r="BA187" s="87"/>
      <c r="BB187" s="442"/>
      <c r="BC187" s="89"/>
      <c r="BD187" s="446"/>
      <c r="BE187" s="446"/>
      <c r="BF187" s="89"/>
      <c r="BG187" s="447"/>
      <c r="BH187" s="447"/>
      <c r="BI187" s="443"/>
    </row>
    <row r="188" spans="1:78" ht="34" x14ac:dyDescent="0.2">
      <c r="B188" s="1531"/>
      <c r="C188" s="710" t="s">
        <v>609</v>
      </c>
      <c r="D188" s="711" t="str">
        <f>_xlfn.XLOOKUP(H188,H186:H187,D186:D187)</f>
        <v>L’autre parent vous salue lors de changements de garde, à l'école ou lors d'événements culturels ou sportifs.</v>
      </c>
      <c r="E188" s="712" t="str">
        <f>_xlfn.XLOOKUP(H188,H186:H187,E186:E187)</f>
        <v>vous salue lorsqu'il vous croise à l'école</v>
      </c>
      <c r="F188" s="713"/>
      <c r="G188" s="713"/>
      <c r="H188" s="713">
        <f>IF(AND(K186=TRUE,K187=FALSE),H186,IF(AND(K186=FALSE,K187=TRUE),H187,MAX(H186,H187)))</f>
        <v>4</v>
      </c>
      <c r="I188" s="1352"/>
      <c r="J188" s="714"/>
      <c r="K188" s="715" t="b">
        <f>IF(AND(K186=FALSE,K187=FALSE),FALSE,TRUE)</f>
        <v>0</v>
      </c>
      <c r="L188" s="31"/>
      <c r="M188" s="31"/>
      <c r="N188" s="31"/>
      <c r="O188" s="1351"/>
      <c r="P188" s="1352"/>
      <c r="Q188" s="714"/>
      <c r="R188" s="1365" t="b">
        <f>IF(AND(R186=FALSE,R187=FALSE),FALSE,TRUE)</f>
        <v>1</v>
      </c>
      <c r="S188" s="1352"/>
      <c r="T188" s="714"/>
      <c r="U188" s="1365" t="b">
        <f>IF(AND(U186=FALSE,U187=FALSE),FALSE,TRUE)</f>
        <v>1</v>
      </c>
      <c r="V188" s="807"/>
      <c r="W188" s="821"/>
      <c r="X188" s="822"/>
      <c r="Y188" s="821"/>
      <c r="Z188" s="822"/>
      <c r="AA188" s="821"/>
      <c r="AB188" s="822"/>
      <c r="AD188" s="10"/>
      <c r="AE188" s="10"/>
      <c r="AF188" s="10"/>
      <c r="AG188" s="1740">
        <f>IF($K188=TRUE,MAX(AG186:AG187),0)</f>
        <v>0</v>
      </c>
      <c r="AH188" s="1740">
        <f>IF($R188=TRUE,MAX(AH186:AH187),0)</f>
        <v>4</v>
      </c>
      <c r="AI188" s="1740">
        <f>IF($U188=TRUE,MAX(AI186:AI187),0)</f>
        <v>4</v>
      </c>
      <c r="AJ188" s="1739">
        <f>MAX(AJ186:AJ187)</f>
        <v>7</v>
      </c>
      <c r="AK188" s="1739">
        <f t="shared" ref="AK188" si="318">MAX(AK186:AK187)</f>
        <v>10</v>
      </c>
      <c r="AL188" s="1739">
        <f t="shared" ref="AL188" si="319">MAX(AL186:AL187)</f>
        <v>2</v>
      </c>
      <c r="AM188" s="1739">
        <f t="shared" ref="AM188" si="320">MAX(AM186:AM187)</f>
        <v>10</v>
      </c>
      <c r="AN188" s="1739">
        <f t="shared" ref="AN188" si="321">MAX(AN186:AN187)</f>
        <v>4</v>
      </c>
      <c r="AO188" s="1739">
        <f t="shared" ref="AO188" si="322">MAX(AO186:AO187)</f>
        <v>7</v>
      </c>
      <c r="AY188" s="734"/>
      <c r="AZ188" s="734"/>
      <c r="BA188" s="87"/>
      <c r="BB188" s="442"/>
      <c r="BC188" s="89"/>
      <c r="BD188" s="446"/>
      <c r="BE188" s="446"/>
      <c r="BF188" s="89"/>
      <c r="BG188" s="447"/>
      <c r="BH188" s="447"/>
      <c r="BI188" s="443"/>
    </row>
    <row r="189" spans="1:78" ht="34" x14ac:dyDescent="0.2">
      <c r="A189" t="str">
        <f>IF(Test_Bible!B407="","F","O")</f>
        <v>O</v>
      </c>
      <c r="B189" s="1700" t="str">
        <f>'Cpts AR +indép + Sommaire'!M28</f>
        <v>Chantage affectif, manipulation</v>
      </c>
      <c r="C189" s="38" t="str">
        <f>'Cpts AR +indép + Sommaire'!I28</f>
        <v>NC03</v>
      </c>
      <c r="D189" s="25" t="str">
        <f>'Cpts AR +indép + Sommaire'!J28</f>
        <v>Le nouveau ou nouvelle conjoint·e vous salue lors de changements de garde, à l'école ou lors d'événements culturels ou sportifs.</v>
      </c>
      <c r="E189" s="78" t="s">
        <v>1541</v>
      </c>
      <c r="F189" s="709">
        <f>'Cpts AR +indép + Sommaire'!K28</f>
        <v>7</v>
      </c>
      <c r="G189" s="709">
        <f>'Cpts AR +indép + Sommaire'!L28</f>
        <v>1</v>
      </c>
      <c r="H189" s="709">
        <f>F189*G189</f>
        <v>7</v>
      </c>
      <c r="I189" s="1350">
        <v>7</v>
      </c>
      <c r="J189" s="1343">
        <v>10</v>
      </c>
      <c r="K189" s="31" t="b">
        <f>IF(AND(F189&gt;=I189,F189&lt;=J189),TRUE,FALSE)</f>
        <v>1</v>
      </c>
      <c r="L189" s="31"/>
      <c r="M189" s="31"/>
      <c r="N189" s="31"/>
      <c r="O189" s="1351"/>
      <c r="P189" s="1350">
        <v>4</v>
      </c>
      <c r="Q189" s="1343">
        <v>10</v>
      </c>
      <c r="R189" s="1351" t="b">
        <f>IF(AND(F189&gt;=P189,F189&lt;=Q189),TRUE,FALSE)</f>
        <v>1</v>
      </c>
      <c r="S189" s="1374">
        <v>11</v>
      </c>
      <c r="T189" s="1375">
        <v>11</v>
      </c>
      <c r="U189" s="1351" t="b">
        <f>IF(AND(F189&gt;=S189,F189&lt;=T189),TRUE,FALSE)</f>
        <v>0</v>
      </c>
      <c r="V189" s="807"/>
      <c r="W189" s="821"/>
      <c r="X189" s="822"/>
      <c r="Y189" s="821"/>
      <c r="Z189" s="822"/>
      <c r="AA189" s="821"/>
      <c r="AB189" s="822"/>
      <c r="AD189" s="10"/>
      <c r="AE189" s="10"/>
      <c r="AF189" s="10"/>
      <c r="AG189" s="832">
        <f>IF(K189=TRUE,H189,0)</f>
        <v>7</v>
      </c>
      <c r="AH189" s="832">
        <f>IF(R189=TRUE,H189,0)</f>
        <v>7</v>
      </c>
      <c r="AI189" s="832">
        <f>IF(U189=TRUE,H189,0)</f>
        <v>0</v>
      </c>
      <c r="AJ189" s="1490">
        <f t="shared" ref="AJ189:AJ190" si="323">IF(OR(I189=11,A189="F"),0,G189*I189)</f>
        <v>7</v>
      </c>
      <c r="AK189" s="1490">
        <f t="shared" ref="AK189:AK190" si="324">IF(OR(J189=11,A189="F"),0,G189*J189)</f>
        <v>10</v>
      </c>
      <c r="AL189" s="1490">
        <f t="shared" ref="AL189:AL190" si="325">IF(OR(P189=11,A189="F"),0,G189*P189)</f>
        <v>4</v>
      </c>
      <c r="AM189" s="1490">
        <f t="shared" ref="AM189:AM190" si="326">IF(OR(Q189=11,A189="F"),0,G189*Q189)</f>
        <v>10</v>
      </c>
      <c r="AN189" s="1490">
        <f t="shared" ref="AN189:AN190" si="327">IF(OR(S189=11,A189="F"),0,S189*G189)</f>
        <v>0</v>
      </c>
      <c r="AO189" s="1490">
        <f t="shared" ref="AO189:AO190" si="328">IF(OR(T189=11,A189="F"),0,T189*G189)</f>
        <v>0</v>
      </c>
      <c r="AY189" s="734"/>
      <c r="AZ189" s="734"/>
      <c r="BA189" s="87"/>
      <c r="BB189" s="442"/>
      <c r="BC189" s="89"/>
      <c r="BD189" s="446"/>
      <c r="BE189" s="446"/>
      <c r="BF189" s="89"/>
      <c r="BG189" s="447"/>
      <c r="BH189" s="447"/>
      <c r="BI189" s="443"/>
    </row>
    <row r="190" spans="1:78" ht="19" x14ac:dyDescent="0.2">
      <c r="B190" s="1700"/>
      <c r="C190" s="38" t="s">
        <v>242</v>
      </c>
      <c r="D190" s="25"/>
      <c r="E190" s="48"/>
      <c r="F190" s="27"/>
      <c r="G190" s="27"/>
      <c r="H190" s="27">
        <f>F190*G190</f>
        <v>0</v>
      </c>
      <c r="I190" s="1374">
        <v>11</v>
      </c>
      <c r="J190" s="1375">
        <v>11</v>
      </c>
      <c r="K190" s="31" t="b">
        <f>IF(AND(F190&gt;=I190,F190&lt;=J190),TRUE,FALSE)</f>
        <v>0</v>
      </c>
      <c r="L190" s="31"/>
      <c r="M190" s="31"/>
      <c r="N190" s="31"/>
      <c r="O190" s="1351"/>
      <c r="P190" s="1374">
        <v>11</v>
      </c>
      <c r="Q190" s="1375">
        <v>11</v>
      </c>
      <c r="R190" s="1351" t="b">
        <f>IF(AND(F190&gt;=P190,F190&lt;=Q190),TRUE,FALSE)</f>
        <v>0</v>
      </c>
      <c r="S190" s="1374">
        <v>11</v>
      </c>
      <c r="T190" s="1375">
        <v>11</v>
      </c>
      <c r="U190" s="1351" t="b">
        <f>IF(AND(F190&gt;=S190,F190&lt;=T190),TRUE,FALSE)</f>
        <v>0</v>
      </c>
      <c r="V190" s="807"/>
      <c r="W190" s="821"/>
      <c r="X190" s="822"/>
      <c r="Y190" s="821"/>
      <c r="Z190" s="822"/>
      <c r="AA190" s="821"/>
      <c r="AB190" s="822"/>
      <c r="AD190" s="10"/>
      <c r="AE190" s="10"/>
      <c r="AF190" s="10"/>
      <c r="AG190" s="832">
        <f>IF(K190=TRUE,H190,0)</f>
        <v>0</v>
      </c>
      <c r="AH190" s="832">
        <f>IF(R190=TRUE,H190,0)</f>
        <v>0</v>
      </c>
      <c r="AI190" s="832">
        <f>IF(U190=TRUE,H190,0)</f>
        <v>0</v>
      </c>
      <c r="AJ190" s="1490">
        <f t="shared" si="323"/>
        <v>0</v>
      </c>
      <c r="AK190" s="1490">
        <f t="shared" si="324"/>
        <v>0</v>
      </c>
      <c r="AL190" s="1490">
        <f t="shared" si="325"/>
        <v>0</v>
      </c>
      <c r="AM190" s="1490">
        <f t="shared" si="326"/>
        <v>0</v>
      </c>
      <c r="AN190" s="1490">
        <f t="shared" si="327"/>
        <v>0</v>
      </c>
      <c r="AO190" s="1490">
        <f t="shared" si="328"/>
        <v>0</v>
      </c>
      <c r="AV190" s="7"/>
      <c r="AX190" s="7"/>
      <c r="AY190" s="734"/>
      <c r="AZ190" s="734"/>
      <c r="BA190" s="87"/>
      <c r="BB190" s="442"/>
      <c r="BC190" s="89"/>
      <c r="BD190" s="446"/>
      <c r="BE190" s="446"/>
      <c r="BF190" s="89"/>
      <c r="BG190" s="447"/>
      <c r="BH190" s="447"/>
      <c r="BI190" s="443"/>
      <c r="BN190" s="25"/>
      <c r="BP190" s="7"/>
      <c r="BQ190" s="7"/>
      <c r="BR190" s="7"/>
      <c r="BS190" s="7"/>
      <c r="BT190" s="7"/>
      <c r="BU190" s="7"/>
      <c r="BV190" s="7"/>
      <c r="BW190" s="7"/>
      <c r="BX190" s="7"/>
      <c r="BY190" s="7"/>
      <c r="BZ190" s="7"/>
    </row>
    <row r="191" spans="1:78" ht="35" thickBot="1" x14ac:dyDescent="0.25">
      <c r="B191" s="1700"/>
      <c r="C191" s="716" t="s">
        <v>610</v>
      </c>
      <c r="D191" s="717" t="str">
        <f>_xlfn.XLOOKUP(H191,H189:H190,D189:D190)</f>
        <v>Le nouveau ou nouvelle conjoint·e vous salue lors de changements de garde, à l'école ou lors d'événements culturels ou sportifs.</v>
      </c>
      <c r="E191" s="718" t="str">
        <f>_xlfn.XLOOKUP(H191,H189:H190,E189:E190)</f>
        <v>Le nouveau conjoint.e vous salue lorsqu'il vous croise à l'école</v>
      </c>
      <c r="F191" s="719"/>
      <c r="G191" s="719"/>
      <c r="H191" s="713">
        <f>IF(AND(K189=TRUE,K190=FALSE),H189,IF(AND(K189=FALSE,K190=TRUE),H190,MAX(H189,H190)))</f>
        <v>7</v>
      </c>
      <c r="I191" s="1353"/>
      <c r="J191" s="720"/>
      <c r="K191" s="721" t="b">
        <f>IF(AND(K189=FALSE,K190=FALSE),FALSE,TRUE)</f>
        <v>1</v>
      </c>
      <c r="L191" s="31"/>
      <c r="M191" s="31"/>
      <c r="N191" s="31"/>
      <c r="O191" s="1351"/>
      <c r="P191" s="1353"/>
      <c r="Q191" s="720"/>
      <c r="R191" s="1366" t="b">
        <f>IF(AND(R189=FALSE,R190=FALSE),FALSE,TRUE)</f>
        <v>1</v>
      </c>
      <c r="S191" s="1353"/>
      <c r="T191" s="720"/>
      <c r="U191" s="1366" t="b">
        <f>IF(AND(U189=FALSE,U190=FALSE),FALSE,TRUE)</f>
        <v>0</v>
      </c>
      <c r="V191" s="807"/>
      <c r="W191" s="821"/>
      <c r="X191" s="822"/>
      <c r="Y191" s="821"/>
      <c r="Z191" s="822"/>
      <c r="AA191" s="821"/>
      <c r="AB191" s="822"/>
      <c r="AD191" s="10"/>
      <c r="AE191" s="10"/>
      <c r="AF191" s="10"/>
      <c r="AG191" s="1740">
        <f>IF($K191=TRUE,MAX(AG189:AG190),0)</f>
        <v>7</v>
      </c>
      <c r="AH191" s="1740">
        <f>IF($R191=TRUE,MAX(AH189:AH190),0)</f>
        <v>7</v>
      </c>
      <c r="AI191" s="1740">
        <f>IF($U191=TRUE,MAX(AI189:AI190),0)</f>
        <v>0</v>
      </c>
      <c r="AJ191" s="1739">
        <f>MAX(AJ189:AJ190)</f>
        <v>7</v>
      </c>
      <c r="AK191" s="1739">
        <f t="shared" ref="AK191" si="329">MAX(AK189:AK190)</f>
        <v>10</v>
      </c>
      <c r="AL191" s="1739">
        <f t="shared" ref="AL191" si="330">MAX(AL189:AL190)</f>
        <v>4</v>
      </c>
      <c r="AM191" s="1739">
        <f t="shared" ref="AM191" si="331">MAX(AM189:AM190)</f>
        <v>10</v>
      </c>
      <c r="AN191" s="1739">
        <f t="shared" ref="AN191" si="332">MAX(AN189:AN190)</f>
        <v>0</v>
      </c>
      <c r="AO191" s="1739">
        <f t="shared" ref="AO191" si="333">MAX(AO189:AO190)</f>
        <v>0</v>
      </c>
      <c r="AV191" s="7"/>
      <c r="AX191" s="7"/>
      <c r="AY191" s="734"/>
      <c r="AZ191" s="734"/>
      <c r="BA191" s="87"/>
      <c r="BB191" s="442"/>
      <c r="BC191" s="89"/>
      <c r="BD191" s="446"/>
      <c r="BE191" s="446"/>
      <c r="BF191" s="89"/>
      <c r="BG191" s="447"/>
      <c r="BH191" s="447"/>
      <c r="BI191" s="443"/>
      <c r="BN191" s="25"/>
      <c r="BP191" s="7"/>
      <c r="BQ191" s="7"/>
      <c r="BR191" s="7"/>
      <c r="BS191" s="7"/>
      <c r="BT191" s="7"/>
      <c r="BU191" s="7"/>
      <c r="BV191" s="7"/>
      <c r="BW191" s="7"/>
      <c r="BX191" s="7"/>
      <c r="BY191" s="7"/>
      <c r="BZ191" s="7"/>
    </row>
    <row r="192" spans="1:78" ht="35" thickBot="1" x14ac:dyDescent="0.25">
      <c r="B192" s="1700"/>
      <c r="C192" s="722" t="s">
        <v>616</v>
      </c>
      <c r="D192" s="723"/>
      <c r="E192" s="723" t="str">
        <f>IF(H192=H188,E188,E191)</f>
        <v>Le nouveau conjoint.e vous salue lorsqu'il vous croise à l'école</v>
      </c>
      <c r="F192" s="724"/>
      <c r="G192" s="724"/>
      <c r="H192" s="724">
        <f>IF(AND(K188=TRUE,K191=FALSE),H188,IF(AND(K188=FALSE,K191=TRUE),H191,IF(AND(K188=TRUE,K191=TRUE),H188+H191,MAX(H188,H191))))</f>
        <v>7</v>
      </c>
      <c r="I192" s="1354"/>
      <c r="J192" s="725"/>
      <c r="K192" s="726" t="b">
        <f>IF(AND(K188=FALSE,K191=FALSE),FALSE,TRUE)</f>
        <v>1</v>
      </c>
      <c r="L192" s="1338"/>
      <c r="M192" s="1338"/>
      <c r="N192" s="1338"/>
      <c r="O192" s="1355"/>
      <c r="P192" s="1354"/>
      <c r="Q192" s="725"/>
      <c r="R192" s="726" t="b">
        <f>IF(AND(R188=FALSE,R191=FALSE),FALSE,TRUE)</f>
        <v>1</v>
      </c>
      <c r="S192" s="1354"/>
      <c r="T192" s="725"/>
      <c r="U192" s="726" t="b">
        <f>IF(AND(U188=FALSE,U191=FALSE),FALSE,TRUE)</f>
        <v>1</v>
      </c>
      <c r="V192" s="807"/>
      <c r="W192" s="821" t="str">
        <f>IF(K192=TRUE,"V","F")</f>
        <v>V</v>
      </c>
      <c r="X192" s="822"/>
      <c r="Y192" s="821" t="str">
        <f>IF(R192=TRUE,"V","F")</f>
        <v>V</v>
      </c>
      <c r="Z192" s="822"/>
      <c r="AA192" s="821" t="str">
        <f>IF(U192=TRUE,"V","F")</f>
        <v>V</v>
      </c>
      <c r="AB192" s="822"/>
      <c r="AC192" t="str">
        <f>IF(OR(W192="V",Y192="V"),IF(H191&gt;H188,"Le NC contribue plus que le coparent","Le coparent joue un plus grand rôle que le NC"),"pas de contexte significatif de la part du coparent et NC")</f>
        <v>Le NC contribue plus que le coparent</v>
      </c>
      <c r="AD192" s="10"/>
      <c r="AE192" s="10"/>
      <c r="AF192" s="10"/>
      <c r="AG192" s="591">
        <f>IF(AND($K188=TRUE,$K191=FALSE),AG188,IF(AND($K188=FALSE,$K191=TRUE),AG191,IF(AND($K188=TRUE,$K191=TRUE),AG188+AG191,0)))</f>
        <v>7</v>
      </c>
      <c r="AH192" s="591">
        <f>IF(AND($R188=TRUE,$R191=FALSE),AH188,IF(AND($R188=FALSE,$R191=TRUE),AH191,IF(AND($R188=TRUE,$R191=TRUE),AH188+AH191,0)))</f>
        <v>11</v>
      </c>
      <c r="AI192" s="591">
        <f>IF(AND($U188=TRUE,$U191=FALSE),AI188,IF(AND($U188=FALSE,$U191=TRUE),AI191,IF(AND($U188=TRUE,$U191=TRUE),AI188+AI191,0)))</f>
        <v>4</v>
      </c>
      <c r="AJ192" s="591">
        <f>IF(AND($K188=TRUE,$K191=FALSE),AJ188,IF(AND($K188=FALSE,$K191=TRUE),AJ191,IF(AND($K188=TRUE,$K191=TRUE),AJ188+AJ191,MAX(AJ188,AJ191))))</f>
        <v>7</v>
      </c>
      <c r="AK192" s="591">
        <f>IF(AND($K188=TRUE,$K191=FALSE),AK188,IF(AND($K188=FALSE,$K191=TRUE),AK191,IF(AND($K188=TRUE,$K191=TRUE),AK188+AK191,MAX(AK188,AK191))))</f>
        <v>10</v>
      </c>
      <c r="AL192" s="591">
        <f t="shared" ref="AL192" si="334">IF(AND($R188=TRUE,$R191=FALSE),AL188,IF(AND($R188=FALSE,$R191=TRUE),AL191,IF(AND($R188=TRUE,$R191=TRUE),AL188+AL191,MAX(AL188,AL191))))</f>
        <v>6</v>
      </c>
      <c r="AM192" s="591">
        <f t="shared" ref="AM192" si="335">IF(AND($R188=TRUE,$R191=FALSE),AM188,IF(AND($R188=FALSE,$R191=TRUE),AM191,IF(AND($R188=TRUE,$R191=TRUE),AM188+AM191,MAX(AM188,AM191))))</f>
        <v>20</v>
      </c>
      <c r="AN192" s="591">
        <f t="shared" ref="AN192" si="336">IF(AND($U188=TRUE,$U191=FALSE),AN188,IF(AND($U188=FALSE,$U191=TRUE),AN191,IF(AND($U188=TRUE,$U191=TRUE),AN188+AN191,MAX(AN188,AN191))))</f>
        <v>4</v>
      </c>
      <c r="AO192" s="591">
        <f t="shared" ref="AO192" si="337">IF(AND($U188=TRUE,$U191=FALSE),AO188,IF(AND($U188=FALSE,$U191=TRUE),AO191,IF(AND($U188=TRUE,$U191=TRUE),AO188+AO191,MAX(AO188,AO191))))</f>
        <v>7</v>
      </c>
      <c r="AV192" s="7"/>
      <c r="AX192" s="7"/>
      <c r="AY192" s="734"/>
      <c r="AZ192" s="734"/>
      <c r="BA192" s="87"/>
      <c r="BB192" s="442"/>
      <c r="BC192" s="89"/>
      <c r="BD192" s="446"/>
      <c r="BE192" s="446"/>
      <c r="BF192" s="89"/>
      <c r="BG192" s="447"/>
      <c r="BH192" s="447"/>
      <c r="BI192" s="443"/>
      <c r="BN192" s="25"/>
      <c r="BP192" s="7"/>
      <c r="BQ192" s="7"/>
      <c r="BR192" s="7"/>
      <c r="BS192" s="7"/>
      <c r="BT192" s="7"/>
      <c r="BU192" s="7"/>
      <c r="BV192" s="7"/>
      <c r="BW192" s="7"/>
      <c r="BX192" s="7"/>
      <c r="BY192" s="7"/>
      <c r="BZ192" s="7"/>
    </row>
    <row r="193" spans="1:78" ht="51" x14ac:dyDescent="0.2">
      <c r="A193" t="str">
        <f>IF(Test_Bible!B284="","F","O")</f>
        <v>O</v>
      </c>
      <c r="B193" s="1700" t="str">
        <f>'Cpts AR +indép + Sommaire'!S28</f>
        <v>Chantage affectif, manipulation</v>
      </c>
      <c r="C193" s="287" t="str">
        <f>'Cpts AR +indép + Sommaire'!O28</f>
        <v>E11</v>
      </c>
      <c r="D193" s="25" t="str">
        <f>'Cpts AR +indép + Sommaire'!P28</f>
        <v>Votre enfant va vers vous lors d'événements culturels ou sportifs lorsqu'il ou elle est en compagnie (sous la supervision) de l'autre parent ?</v>
      </c>
      <c r="E193" s="78" t="s">
        <v>1540</v>
      </c>
      <c r="F193" s="709">
        <f>'Cpts AR +indép + Sommaire'!Q28</f>
        <v>1</v>
      </c>
      <c r="G193" s="709">
        <f>'Cpts AR +indép + Sommaire'!R28</f>
        <v>2</v>
      </c>
      <c r="H193" s="709">
        <f>F193*G193</f>
        <v>2</v>
      </c>
      <c r="I193" s="1350">
        <v>4</v>
      </c>
      <c r="J193" s="1343">
        <v>10</v>
      </c>
      <c r="K193" s="31" t="b">
        <f>IF(AND(F193&gt;=I193,F193&lt;=J193),TRUE,FALSE)</f>
        <v>0</v>
      </c>
      <c r="L193" s="31"/>
      <c r="M193" s="31"/>
      <c r="N193" s="31"/>
      <c r="O193" s="1351"/>
      <c r="P193" s="1350">
        <v>2</v>
      </c>
      <c r="Q193" s="1343">
        <v>4</v>
      </c>
      <c r="R193" s="1351" t="b">
        <f>IF(AND(F193&gt;=P193,F193&lt;=Q193),TRUE,FALSE)</f>
        <v>0</v>
      </c>
      <c r="S193" s="1350"/>
      <c r="T193" s="1343"/>
      <c r="U193" s="1351"/>
      <c r="V193" s="807"/>
      <c r="W193" s="821" t="s">
        <v>753</v>
      </c>
      <c r="X193" s="822"/>
      <c r="Y193" s="821"/>
      <c r="Z193" s="822"/>
      <c r="AA193" s="821"/>
      <c r="AB193" s="822"/>
      <c r="AD193" s="10"/>
      <c r="AE193" s="10"/>
      <c r="AF193" s="10"/>
      <c r="AG193" s="832">
        <f>IF($K193=TRUE,H193,0)</f>
        <v>0</v>
      </c>
      <c r="AH193" s="832">
        <f>IF($R193=TRUE,H193,0)</f>
        <v>0</v>
      </c>
      <c r="AI193" s="832"/>
      <c r="AJ193" s="1490">
        <f t="shared" ref="AJ193:AJ194" si="338">IF(OR(I193=11,A193="F"),0,G193*I193)</f>
        <v>8</v>
      </c>
      <c r="AK193" s="1490">
        <f t="shared" ref="AK193:AK194" si="339">IF(OR(J193=11,A193="F"),0,G193*J193)</f>
        <v>20</v>
      </c>
      <c r="AL193" s="1490">
        <f t="shared" ref="AL193:AL194" si="340">IF(OR(P193=11,A193="F"),0,G193*P193)</f>
        <v>4</v>
      </c>
      <c r="AM193" s="1490">
        <f t="shared" ref="AM193:AM194" si="341">IF(OR(Q193=11,A193="F"),0,G193*Q193)</f>
        <v>8</v>
      </c>
      <c r="AN193" s="1490">
        <f t="shared" ref="AN193:AN194" si="342">IF(OR(S193=11,A193="F"),0,S193*G193)</f>
        <v>0</v>
      </c>
      <c r="AO193" s="1490">
        <f t="shared" ref="AO193:AO194" si="343">IF(OR(T193=11,A193="F"),0,T193*G193)</f>
        <v>0</v>
      </c>
      <c r="AV193" s="7"/>
      <c r="AX193" s="7"/>
      <c r="AY193" s="734"/>
      <c r="AZ193" s="734"/>
      <c r="BA193" s="87"/>
      <c r="BB193" s="442"/>
      <c r="BC193" s="89"/>
      <c r="BD193" s="446"/>
      <c r="BE193" s="446"/>
      <c r="BF193" s="89"/>
      <c r="BG193" s="447"/>
      <c r="BH193" s="447"/>
      <c r="BI193" s="443"/>
      <c r="BN193" s="25"/>
      <c r="BP193" s="7"/>
      <c r="BQ193" s="7"/>
      <c r="BR193" s="7"/>
      <c r="BS193" s="7"/>
      <c r="BT193" s="7"/>
      <c r="BU193" s="7"/>
      <c r="BV193" s="7"/>
      <c r="BW193" s="7"/>
      <c r="BX193" s="7"/>
      <c r="BY193" s="7"/>
      <c r="BZ193" s="7"/>
    </row>
    <row r="194" spans="1:78" ht="35" thickBot="1" x14ac:dyDescent="0.25">
      <c r="A194" t="str">
        <f>IF(Test_Bible!B310="","F","O")</f>
        <v>O</v>
      </c>
      <c r="B194" s="1700" t="str">
        <f>'Cpts AR +indép + Sommaire'!S29</f>
        <v>Rôle actif de l'enfant</v>
      </c>
      <c r="C194" s="287" t="str">
        <f>'Cpts AR +indép + Sommaire'!O29</f>
        <v>E26</v>
      </c>
      <c r="D194" s="25" t="str">
        <f>'Cpts AR +indép + Sommaire'!P29</f>
        <v>Le comportement ou l'attitude de votre enfant change en présence de l’autre parent.</v>
      </c>
      <c r="E194" s="48" t="s">
        <v>354</v>
      </c>
      <c r="F194" s="709">
        <f>'Cpts AR +indép + Sommaire'!Q29</f>
        <v>7</v>
      </c>
      <c r="G194" s="709">
        <f>'Cpts AR +indép + Sommaire'!R29</f>
        <v>2</v>
      </c>
      <c r="H194" s="709">
        <f>F194*G194</f>
        <v>14</v>
      </c>
      <c r="I194" s="1350">
        <v>4</v>
      </c>
      <c r="J194" s="1343">
        <v>10</v>
      </c>
      <c r="K194" s="31" t="b">
        <f>IF(AND(F194&gt;=I194,F194&lt;=J194),TRUE,FALSE)</f>
        <v>1</v>
      </c>
      <c r="L194" s="31"/>
      <c r="M194" s="31"/>
      <c r="N194" s="31"/>
      <c r="O194" s="1351"/>
      <c r="P194" s="1350">
        <v>2</v>
      </c>
      <c r="Q194" s="1343">
        <v>7</v>
      </c>
      <c r="R194" s="1351" t="b">
        <f>IF(AND(F194&gt;=P194,F194&lt;=Q194),TRUE,FALSE)</f>
        <v>1</v>
      </c>
      <c r="S194" s="1374"/>
      <c r="T194" s="1375"/>
      <c r="U194" s="1351"/>
      <c r="V194" s="807"/>
      <c r="W194" s="821"/>
      <c r="X194" s="822"/>
      <c r="Y194" s="821"/>
      <c r="Z194" s="822"/>
      <c r="AA194" s="821"/>
      <c r="AB194" s="822"/>
      <c r="AD194" s="10"/>
      <c r="AE194" s="10"/>
      <c r="AF194" s="10"/>
      <c r="AG194" s="832">
        <f>IF($K194=TRUE,H194,0)</f>
        <v>14</v>
      </c>
      <c r="AH194" s="832">
        <f>IF($R194=TRUE,H194,0)</f>
        <v>14</v>
      </c>
      <c r="AI194" s="832"/>
      <c r="AJ194" s="1490">
        <f t="shared" si="338"/>
        <v>8</v>
      </c>
      <c r="AK194" s="1490">
        <f t="shared" si="339"/>
        <v>20</v>
      </c>
      <c r="AL194" s="1490">
        <f t="shared" si="340"/>
        <v>4</v>
      </c>
      <c r="AM194" s="1490">
        <f t="shared" si="341"/>
        <v>14</v>
      </c>
      <c r="AN194" s="1490">
        <f t="shared" si="342"/>
        <v>0</v>
      </c>
      <c r="AO194" s="1490">
        <f t="shared" si="343"/>
        <v>0</v>
      </c>
      <c r="AV194" s="7"/>
      <c r="AX194" s="7"/>
      <c r="AY194" s="734"/>
      <c r="AZ194" s="734"/>
      <c r="BA194" s="87"/>
      <c r="BB194" s="442"/>
      <c r="BC194" s="89"/>
      <c r="BD194" s="446"/>
      <c r="BE194" s="446"/>
      <c r="BF194" s="89"/>
      <c r="BG194" s="447"/>
      <c r="BH194" s="447"/>
      <c r="BI194" s="443"/>
      <c r="BN194" s="25"/>
      <c r="BP194" s="7"/>
      <c r="BQ194" s="7"/>
      <c r="BR194" s="7"/>
      <c r="BS194" s="7"/>
      <c r="BT194" s="7"/>
      <c r="BU194" s="7"/>
      <c r="BV194" s="7"/>
      <c r="BW194" s="7"/>
      <c r="BX194" s="7"/>
      <c r="BY194" s="7"/>
      <c r="BZ194" s="7"/>
    </row>
    <row r="195" spans="1:78" ht="35" thickBot="1" x14ac:dyDescent="0.25">
      <c r="B195" s="1700"/>
      <c r="C195" s="727" t="s">
        <v>611</v>
      </c>
      <c r="D195" s="728" t="str">
        <f>_xlfn.XLOOKUP(H195,H193:H194,D193:D194)</f>
        <v>Le comportement ou l'attitude de votre enfant change en présence de l’autre parent.</v>
      </c>
      <c r="E195" s="728" t="str">
        <f>_xlfn.XLOOKUP(H195,H193:H194,E193:E194)</f>
        <v>change d'attitude lorsqu'il est en présence des deux parents</v>
      </c>
      <c r="F195" s="729"/>
      <c r="G195" s="729"/>
      <c r="H195" s="729">
        <f>IF(AND(K193=TRUE,K194=FALSE),H193,IF(AND(K193=FALSE,K194=TRUE),H194,MAX(H193,H194)))</f>
        <v>14</v>
      </c>
      <c r="I195" s="1356"/>
      <c r="J195" s="730"/>
      <c r="K195" s="731" t="b">
        <f>IF(AND(K193=FALSE,K194=FALSE),FALSE,TRUE)</f>
        <v>1</v>
      </c>
      <c r="L195" s="1339"/>
      <c r="M195" s="1339"/>
      <c r="N195" s="1339"/>
      <c r="O195" s="1357"/>
      <c r="P195" s="1356"/>
      <c r="Q195" s="730"/>
      <c r="R195" s="731" t="b">
        <f>IF(AND(R193=FALSE,R194=FALSE),FALSE,TRUE)</f>
        <v>1</v>
      </c>
      <c r="S195" s="1356"/>
      <c r="T195" s="730"/>
      <c r="U195" s="731"/>
      <c r="V195" s="807"/>
      <c r="W195" s="821" t="str">
        <f>IF(K195=TRUE,"V","F")</f>
        <v>V</v>
      </c>
      <c r="X195" s="822"/>
      <c r="Y195" s="821" t="str">
        <f>IF(R195=TRUE,"V","F")</f>
        <v>V</v>
      </c>
      <c r="Z195" s="822"/>
      <c r="AA195" s="821"/>
      <c r="AB195" s="822"/>
      <c r="AC195" t="str">
        <f>IF(AND(Z195=1,Z196=0),"contexte différent de l'AP!!","Contexte AP,CSS en cause")</f>
        <v>Contexte AP,CSS en cause</v>
      </c>
      <c r="AD195" s="10"/>
      <c r="AE195" s="10"/>
      <c r="AF195" s="10"/>
      <c r="AG195" s="1742">
        <f>IF(AND($K193=TRUE,$K194=FALSE),AG193,IF(AND($K193=FALSE,$K194=TRUE),AG194,IF(AND($K193=TRUE,$K194=TRUE),MAX(AG193,AG194),0)))</f>
        <v>14</v>
      </c>
      <c r="AH195" s="1742">
        <f>IF(AND($R193=TRUE,$R194=FALSE),AH193,IF(AND($R193=FALSE,$R194=TRUE),AH194,IF(AND($R193=TRUE,$R194=TRUE),MAX(AH193,AH194),0)))</f>
        <v>14</v>
      </c>
      <c r="AI195" s="1742"/>
      <c r="AJ195" s="1742">
        <f>IF(AND($K193=TRUE,$K194=FALSE),AJ193,IF(AND($K193=FALSE,$K194=TRUE),AJ194,IF(AND($K193=TRUE,$K194=TRUE),MAX(AJ193,AJ194),0)))</f>
        <v>8</v>
      </c>
      <c r="AK195" s="1742">
        <f>IF(AND($K193=TRUE,$K194=FALSE),AK193,IF(AND($K193=FALSE,$K194=TRUE),AK194,IF(AND($K193=TRUE,$K194=TRUE),MAX(AK193,AK194),0)))</f>
        <v>20</v>
      </c>
      <c r="AL195" s="1742">
        <f t="shared" ref="AL195" si="344">IF(AND($R193=TRUE,$R194=FALSE),AL193,IF(AND($R193=FALSE,$R194=TRUE),AL194,IF(AND($R193=TRUE,$R194=TRUE),MAX(AL193,AL194),0)))</f>
        <v>4</v>
      </c>
      <c r="AM195" s="1742">
        <f t="shared" ref="AM195" si="345">IF(AND($R193=TRUE,$R194=FALSE),AM193,IF(AND($R193=FALSE,$R194=TRUE),AM194,IF(AND($R193=TRUE,$R194=TRUE),MAX(AM193,AM194),0)))</f>
        <v>14</v>
      </c>
      <c r="AN195" s="1742"/>
      <c r="AO195" s="1742"/>
      <c r="AY195" s="734"/>
      <c r="AZ195" s="734"/>
      <c r="BA195" s="87"/>
      <c r="BB195" s="442"/>
      <c r="BC195" s="89"/>
      <c r="BD195" s="446"/>
      <c r="BE195" s="446"/>
      <c r="BF195" s="89"/>
      <c r="BG195" s="447"/>
      <c r="BH195" s="447"/>
      <c r="BI195" s="443"/>
    </row>
    <row r="196" spans="1:78" ht="34" x14ac:dyDescent="0.2">
      <c r="B196" s="1700"/>
      <c r="D196" s="386" t="s">
        <v>273</v>
      </c>
      <c r="E196" s="705"/>
      <c r="F196" s="439" t="s">
        <v>349</v>
      </c>
      <c r="G196" s="33"/>
      <c r="H196" s="33">
        <f>IF(AND(K192=TRUE,K195=FALSE),H192,IF(AND(K192=FALSE,K195=TRUE),H195,IF(AND(K192=TRUE,K195=TRUE),H192+H195,MAX(H192,H195))))</f>
        <v>21</v>
      </c>
      <c r="I196" s="1358"/>
      <c r="J196" s="440"/>
      <c r="K196" s="1341"/>
      <c r="L196" s="1342" t="str">
        <f>IF(AND(K195=TRUE,K192=TRUE),E195,"")</f>
        <v>change d'attitude lorsqu'il est en présence des deux parents</v>
      </c>
      <c r="M196" s="1342" t="str">
        <f>IF(AND(K192=TRUE,K195=FALSE),"Bien que le parent "&amp;E192&amp;" l'enfant ne semble pas s'ingérer","")</f>
        <v/>
      </c>
      <c r="N196" s="1342" t="str">
        <f>IF(AND(K192=FALSE,K195=TRUE),E195&amp;" sans signe de la participation du parent favorisé et|ou nouveau conjoint.e","")</f>
        <v/>
      </c>
      <c r="O196" s="1359" t="str">
        <f>IF(AND(K192=FALSE,K195=FALSE),"aucun comportement significatif de cette nature","")</f>
        <v/>
      </c>
      <c r="P196" s="1358"/>
      <c r="Q196" s="440"/>
      <c r="R196" s="1367"/>
      <c r="S196" s="1358"/>
      <c r="T196" s="440"/>
      <c r="U196" s="1367"/>
      <c r="V196" s="145"/>
      <c r="W196" s="823"/>
      <c r="X196" s="824">
        <f>IF(AND(W192="V",W195="V"),2,IF(OR(W192="V",W195="V"),1,0))</f>
        <v>2</v>
      </c>
      <c r="Y196" s="823"/>
      <c r="Z196" s="824">
        <f>IF(OR(Y192="V",Y195="V"),1,0)</f>
        <v>1</v>
      </c>
      <c r="AA196" s="823"/>
      <c r="AB196" s="824"/>
      <c r="AD196" s="10"/>
      <c r="AE196" s="10"/>
      <c r="AF196" s="10"/>
      <c r="AG196" s="1738">
        <f>IF(AND($W192="V",$W195="F"),AG192,IF(AND($W192="F",$W195="V"),AG195,IF(AND($W192="V",$W195="V"),AG192+AG195,0)))</f>
        <v>21</v>
      </c>
      <c r="AH196" s="1738">
        <f>IF(AND($Y192="V",$Y195="F"),AH192,IF(AND($Y192="F",$Y195="V"),AH195,IF(AND($Y192="V",$Y195="V"),AH192+AH195,0)))</f>
        <v>25</v>
      </c>
      <c r="AI196" s="1738"/>
      <c r="AJ196" s="1738">
        <f>IF(AND($W192="V",$W195="F"),AJ192,IF(AND($W192="F",$W195="V"),AJ195,IF(AND($W192="V",$W195="V"),AJ192+AJ195,0)))</f>
        <v>15</v>
      </c>
      <c r="AK196" s="1738">
        <f>IF(AND($W192="V",$W195="F"),AK192,IF(AND($W192="F",$W195="V"),AK195,IF(AND($W192="V",$W195="V"),AK192+AK195,0)))</f>
        <v>30</v>
      </c>
      <c r="AL196" s="1738">
        <f>IF(AND($Y192="V",$Y195="F"),AL192,IF(AND($Y192="F",$Y195="V"),AL195,IF(AND($Y192="V",$Y195="V"),AL192+AL195,0)))</f>
        <v>10</v>
      </c>
      <c r="AM196" s="1738">
        <f>IF(AND($Y192="V",$Y195="F"),AM192,IF(AND($Y192="F",$Y195="V"),AM195,IF(AND($Y192="V",$Y195="V"),AM192+AM195,0)))</f>
        <v>34</v>
      </c>
      <c r="AN196" s="1738"/>
      <c r="AO196" s="1738"/>
      <c r="AY196" s="734"/>
      <c r="AZ196" s="734"/>
      <c r="BA196" s="87"/>
      <c r="BB196" s="442"/>
      <c r="BC196" s="89"/>
      <c r="BD196" s="446"/>
      <c r="BE196" s="446"/>
      <c r="BF196" s="89"/>
      <c r="BG196" s="447"/>
      <c r="BH196" s="447"/>
      <c r="BI196" s="443"/>
    </row>
    <row r="197" spans="1:78" ht="19" x14ac:dyDescent="0.2">
      <c r="B197" s="1700"/>
      <c r="C197" t="s">
        <v>238</v>
      </c>
      <c r="I197" s="122"/>
      <c r="L197" s="32"/>
      <c r="M197" s="32"/>
      <c r="N197" s="32"/>
      <c r="O197" s="1379"/>
      <c r="P197" s="122"/>
      <c r="R197" s="292"/>
      <c r="S197" s="122"/>
      <c r="U197" s="292"/>
      <c r="V197" s="32"/>
      <c r="W197" s="821"/>
      <c r="X197" s="822"/>
      <c r="Y197" s="821"/>
      <c r="Z197" s="822"/>
      <c r="AA197" s="821"/>
      <c r="AB197" s="822"/>
      <c r="AD197" s="10"/>
      <c r="AE197" s="10"/>
      <c r="AF197" s="10"/>
      <c r="AG197" s="832"/>
      <c r="AH197" s="832"/>
      <c r="AI197" s="832"/>
      <c r="AJ197" s="1490"/>
      <c r="AK197" s="1490"/>
      <c r="AL197" s="1490"/>
      <c r="AM197" s="1490"/>
      <c r="AN197" s="1490"/>
      <c r="AO197" s="1490"/>
      <c r="AY197" s="734"/>
      <c r="AZ197" s="734"/>
      <c r="BA197" s="87"/>
      <c r="BB197" s="442"/>
      <c r="BC197" s="89"/>
      <c r="BD197" s="446"/>
      <c r="BE197" s="446"/>
      <c r="BF197" s="89"/>
      <c r="BG197" s="447"/>
      <c r="BH197" s="447"/>
      <c r="BI197" s="443"/>
    </row>
    <row r="198" spans="1:78" ht="34" x14ac:dyDescent="0.2">
      <c r="A198" t="str">
        <f>IF(Test_Bible!B124="","F","O")</f>
        <v>O</v>
      </c>
      <c r="B198" s="1700" t="str">
        <f>'Cpts AR +indép + Sommaire'!Y28</f>
        <v>Chantage affectif, manipulation</v>
      </c>
      <c r="C198" s="825" t="str">
        <f>'Cpts AR +indép + Sommaire'!U28</f>
        <v>PCR03</v>
      </c>
      <c r="D198" s="826" t="str">
        <f>'Cpts AR +indép + Sommaire'!V28</f>
        <v xml:space="preserve">Vous saluez ou allez vers l'autre parent lors de changements de garde, à l'école ou lors d'événements culturels ou sportifs. </v>
      </c>
      <c r="E198" s="826" t="s">
        <v>1540</v>
      </c>
      <c r="F198" s="830">
        <f>'Cpts AR +indép + Sommaire'!W28</f>
        <v>1</v>
      </c>
      <c r="G198" s="830">
        <f>'Cpts AR +indép + Sommaire'!X28</f>
        <v>1</v>
      </c>
      <c r="H198" s="830">
        <f>F198*G198</f>
        <v>1</v>
      </c>
      <c r="I198" s="1350">
        <v>4</v>
      </c>
      <c r="J198" s="1343">
        <v>10</v>
      </c>
      <c r="K198" s="31" t="b">
        <f>IF(AND(F198&gt;=I198,F198&lt;=J198),TRUE,FALSE)</f>
        <v>0</v>
      </c>
      <c r="L198" s="26"/>
      <c r="M198" s="26"/>
      <c r="N198" s="26"/>
      <c r="O198" s="1360"/>
      <c r="P198" s="1374">
        <v>11</v>
      </c>
      <c r="Q198" s="1375">
        <v>11</v>
      </c>
      <c r="R198" s="1351" t="b">
        <f>IF(AND(F198&gt;=P198,F198&lt;=Q198),TRUE,FALSE)</f>
        <v>0</v>
      </c>
      <c r="S198" s="1350">
        <v>4</v>
      </c>
      <c r="T198" s="1343">
        <v>10</v>
      </c>
      <c r="U198" s="1351" t="b">
        <f>IF(AND(F198&gt;=S198,F198&lt;=T198),TRUE,FALSE)</f>
        <v>0</v>
      </c>
      <c r="V198" s="32"/>
      <c r="W198" s="821"/>
      <c r="X198" s="822"/>
      <c r="Y198" s="821"/>
      <c r="Z198" s="822"/>
      <c r="AA198" s="821"/>
      <c r="AB198" s="822"/>
      <c r="AD198" s="10"/>
      <c r="AE198" s="10"/>
      <c r="AF198" s="10"/>
      <c r="AG198" s="832">
        <f>IF($K198=TRUE,H198,0)</f>
        <v>0</v>
      </c>
      <c r="AH198" s="832">
        <f>IF($R198=TRUE,H198,0)</f>
        <v>0</v>
      </c>
      <c r="AI198" s="832">
        <f>IF($U198=TRUE,H198,0)</f>
        <v>0</v>
      </c>
      <c r="AJ198" s="1490">
        <f t="shared" ref="AJ198:AJ199" si="346">IF(OR(I198=11,A198="F"),0,G198*I198)</f>
        <v>4</v>
      </c>
      <c r="AK198" s="1490">
        <f t="shared" ref="AK198:AK199" si="347">IF(OR(J198=11,A198="F"),0,G198*J198)</f>
        <v>10</v>
      </c>
      <c r="AL198" s="1490">
        <f t="shared" ref="AL198:AL199" si="348">IF(OR(P198=11,A198="F"),0,G198*P198)</f>
        <v>0</v>
      </c>
      <c r="AM198" s="1490">
        <f t="shared" ref="AM198:AM199" si="349">IF(OR(Q198=11,A198="F"),0,G198*Q198)</f>
        <v>0</v>
      </c>
      <c r="AN198" s="1490">
        <f t="shared" ref="AN198:AN199" si="350">IF(OR(S198=11,A198="F"),0,S198*G198)</f>
        <v>4</v>
      </c>
      <c r="AO198" s="1490">
        <f t="shared" ref="AO198:AO199" si="351">IF(OR(T198=11,A198="F"),0,T198*G198)</f>
        <v>10</v>
      </c>
      <c r="AY198" s="734"/>
      <c r="AZ198" s="734"/>
      <c r="BA198" s="87"/>
      <c r="BB198" s="442"/>
      <c r="BC198" s="89"/>
      <c r="BD198" s="446"/>
      <c r="BE198" s="446"/>
      <c r="BF198" s="89"/>
      <c r="BG198" s="447"/>
      <c r="BH198" s="447"/>
      <c r="BI198" s="443"/>
    </row>
    <row r="199" spans="1:78" ht="20" thickBot="1" x14ac:dyDescent="0.25">
      <c r="B199" s="1700"/>
      <c r="C199" s="825"/>
      <c r="D199" s="829"/>
      <c r="E199" s="826"/>
      <c r="F199" s="830"/>
      <c r="G199" s="830"/>
      <c r="H199" s="830">
        <f>F199*G199</f>
        <v>0</v>
      </c>
      <c r="I199" s="1374">
        <v>11</v>
      </c>
      <c r="J199" s="1375">
        <v>11</v>
      </c>
      <c r="K199" s="31" t="b">
        <f>IF(AND(F199&gt;=I199,F199&lt;=J199),TRUE,FALSE)</f>
        <v>0</v>
      </c>
      <c r="L199" s="26"/>
      <c r="M199" s="26"/>
      <c r="N199" s="26"/>
      <c r="O199" s="1360"/>
      <c r="P199" s="1374">
        <v>11</v>
      </c>
      <c r="Q199" s="1375">
        <v>11</v>
      </c>
      <c r="R199" s="1351" t="b">
        <f>IF(AND(F199&gt;=P199,F199&lt;=Q199),TRUE,FALSE)</f>
        <v>0</v>
      </c>
      <c r="S199" s="1374">
        <v>11</v>
      </c>
      <c r="T199" s="1375">
        <v>11</v>
      </c>
      <c r="U199" s="1351" t="b">
        <f>IF(AND(F199&gt;=S199,F199&lt;=T199),TRUE,FALSE)</f>
        <v>0</v>
      </c>
      <c r="W199" s="821"/>
      <c r="X199" s="822"/>
      <c r="Y199" s="821"/>
      <c r="Z199" s="822"/>
      <c r="AA199" s="821"/>
      <c r="AB199" s="822"/>
      <c r="AD199" s="10"/>
      <c r="AE199" s="10"/>
      <c r="AF199" s="10"/>
      <c r="AG199" s="832">
        <f>IF($K199=TRUE,H199,0)</f>
        <v>0</v>
      </c>
      <c r="AH199" s="832">
        <f>IF($R199=TRUE,H199,0)</f>
        <v>0</v>
      </c>
      <c r="AI199" s="832">
        <f>IF($U199=TRUE,H199,0)</f>
        <v>0</v>
      </c>
      <c r="AJ199" s="1490">
        <f t="shared" si="346"/>
        <v>0</v>
      </c>
      <c r="AK199" s="1490">
        <f t="shared" si="347"/>
        <v>0</v>
      </c>
      <c r="AL199" s="1490">
        <f t="shared" si="348"/>
        <v>0</v>
      </c>
      <c r="AM199" s="1490">
        <f t="shared" si="349"/>
        <v>0</v>
      </c>
      <c r="AN199" s="1490">
        <f t="shared" si="350"/>
        <v>0</v>
      </c>
      <c r="AO199" s="1490">
        <f t="shared" si="351"/>
        <v>0</v>
      </c>
      <c r="AY199" s="734"/>
      <c r="AZ199" s="734"/>
      <c r="BA199" s="87"/>
      <c r="BB199" s="442"/>
      <c r="BC199" s="89"/>
      <c r="BD199" s="446"/>
      <c r="BE199" s="446"/>
      <c r="BF199" s="89"/>
      <c r="BG199" s="447"/>
      <c r="BH199" s="447"/>
      <c r="BI199" s="443"/>
    </row>
    <row r="200" spans="1:78" ht="27" thickBot="1" x14ac:dyDescent="0.35">
      <c r="D200" s="16"/>
      <c r="E200" s="16"/>
      <c r="F200" s="67"/>
      <c r="G200" s="438"/>
      <c r="H200" s="33">
        <f>IF(AND(K198=TRUE,K199=FALSE),H198,IF(AND(K198=FALSE,K199=TRUE),H199,MAX(H198,H199)))</f>
        <v>1</v>
      </c>
      <c r="I200" s="1371"/>
      <c r="J200" s="1372"/>
      <c r="K200" s="1378" t="b">
        <f>IF(AND(K198=FALSE,K199=FALSE),FALSE,TRUE)</f>
        <v>0</v>
      </c>
      <c r="L200" s="1361"/>
      <c r="M200" s="1362"/>
      <c r="N200" s="1362"/>
      <c r="O200" s="1363"/>
      <c r="P200" s="1371"/>
      <c r="Q200" s="1372"/>
      <c r="R200" s="1378" t="b">
        <f>IF(AND(R198=FALSE,R199=FALSE),FALSE,TRUE)</f>
        <v>0</v>
      </c>
      <c r="S200" s="1383"/>
      <c r="T200" s="1384"/>
      <c r="U200" s="1385" t="b">
        <f>IF(AND(U198=FALSE,U199=FALSE),FALSE,TRUE)</f>
        <v>0</v>
      </c>
      <c r="V200" s="145"/>
      <c r="W200" s="1315" t="str">
        <f>IF(K200=TRUE,"V","F")</f>
        <v>F</v>
      </c>
      <c r="X200" s="1316"/>
      <c r="Y200" s="1315" t="str">
        <f>IF(R200=TRUE,"V","F")</f>
        <v>F</v>
      </c>
      <c r="Z200" s="1316"/>
      <c r="AA200" s="1315" t="str">
        <f>IF(U200=TRUE,"V","F")</f>
        <v>F</v>
      </c>
      <c r="AB200" s="1316"/>
      <c r="AD200" s="10"/>
      <c r="AE200" s="10"/>
      <c r="AF200" s="10"/>
      <c r="AG200" s="1742">
        <f>IF(AND($K198=TRUE,$K199=FALSE),AG198,IF(AND($K198=FALSE,$K199=TRUE),AG199,MAX(AG198,AG199)))</f>
        <v>0</v>
      </c>
      <c r="AH200" s="1742">
        <f>IF(AND($R198=TRUE,$R199=FALSE),AH198,IF(AND($R198=FALSE,$R199=TRUE),AH199,MAX(AH198,AH199)))</f>
        <v>0</v>
      </c>
      <c r="AI200" s="1742">
        <f>IF(AND($U198=TRUE,$U199=FALSE),AI198,IF(AND($U198=FALSE,$U199=TRUE),AI199,MAX(AI198,AI199)))</f>
        <v>0</v>
      </c>
      <c r="AJ200" s="1742">
        <f>IF(AND($K198=TRUE,$K199=FALSE),AJ198,IF(AND($K198=FALSE,$K199=TRUE),AJ199,MAX(AJ198,AJ199)))</f>
        <v>4</v>
      </c>
      <c r="AK200" s="1742">
        <f>IF(AND($K198=TRUE,$K199=FALSE),AK198,IF(AND($K198=FALSE,$K199=TRUE),AK199,MAX(AK198,AK199)))</f>
        <v>10</v>
      </c>
      <c r="AL200" s="1742">
        <f>IF(AND($R198=TRUE,$R199=FALSE),AL198,IF(AND($R198=FALSE,$R199=TRUE),AL199,MAX(AL198,AL199)))</f>
        <v>0</v>
      </c>
      <c r="AM200" s="1742">
        <f>IF(AND($R198=TRUE,$R199=FALSE),AM198,IF(AND($R198=FALSE,$R199=TRUE),AM199,MAX(AM198,AM199)))</f>
        <v>0</v>
      </c>
      <c r="AN200" s="1742">
        <f>IF(AND($U198=TRUE,$U199=FALSE),AN198,IF(AND($U198=FALSE,$U199=TRUE),AN199,MAX(AN198,AN199)))</f>
        <v>4</v>
      </c>
      <c r="AO200" s="1742">
        <f>IF(AND($U198=TRUE,$U199=FALSE),AO198,IF(AND($U198=FALSE,$U199=TRUE),AO199,MAX(AO198,AO199)))</f>
        <v>10</v>
      </c>
      <c r="AY200" s="734"/>
      <c r="AZ200" s="734"/>
      <c r="BA200" s="87"/>
      <c r="BB200" s="442"/>
      <c r="BC200" s="89"/>
      <c r="BD200" s="446"/>
      <c r="BE200" s="446"/>
      <c r="BF200" s="89"/>
      <c r="BG200" s="447"/>
      <c r="BH200" s="447"/>
      <c r="BI200" s="443"/>
    </row>
    <row r="201" spans="1:78" ht="35" thickBot="1" x14ac:dyDescent="0.35">
      <c r="D201" s="16" t="s">
        <v>1091</v>
      </c>
      <c r="E201" s="16"/>
      <c r="F201" s="67"/>
      <c r="G201" s="438"/>
      <c r="H201" s="438"/>
      <c r="I201" s="8"/>
      <c r="J201" s="8"/>
      <c r="K201" s="63"/>
      <c r="L201" s="145"/>
      <c r="M201" s="145"/>
      <c r="N201" s="145"/>
      <c r="O201" s="145"/>
      <c r="P201" s="145"/>
      <c r="Q201" s="145"/>
      <c r="R201" s="145"/>
      <c r="S201" s="145"/>
      <c r="T201" s="145"/>
      <c r="U201" s="145"/>
      <c r="V201" s="145"/>
      <c r="W201" s="1376"/>
      <c r="X201" s="1377">
        <f>IF(AND(W200="V",W192="V"),X196-1,X196)</f>
        <v>2</v>
      </c>
      <c r="Y201" s="1376"/>
      <c r="Z201" s="1377">
        <f>IF(OR(Y192="V",Y195="V",Y200="V"),1,0)</f>
        <v>1</v>
      </c>
      <c r="AA201" s="1376"/>
      <c r="AB201" s="1377">
        <f>IF(AA192="V",1,IF(AA200="V",1,0))</f>
        <v>1</v>
      </c>
      <c r="AD201" s="10">
        <f>X201</f>
        <v>2</v>
      </c>
      <c r="AE201" s="10">
        <f>Z201</f>
        <v>1</v>
      </c>
      <c r="AF201" s="10">
        <f>AB201</f>
        <v>1</v>
      </c>
      <c r="AG201" s="1741">
        <f>IF($W200="F",AG196,AG196+AG200)</f>
        <v>21</v>
      </c>
      <c r="AH201" s="1741">
        <f>IF($Y200="F",AH196,AH196+AH200)</f>
        <v>25</v>
      </c>
      <c r="AI201" s="1741">
        <f>IF(AND($AA192="V",$AA200="F"),AI192,IF(AND($AA192="F",$AA200="V"),AI200,IF(AND($AA192="V",$AA200="V"),AI192+AI200,0)))</f>
        <v>4</v>
      </c>
      <c r="AJ201" s="1741">
        <f>IF($W200="F",AJ196,AJ196+AJ200)</f>
        <v>15</v>
      </c>
      <c r="AK201" s="1741">
        <f t="shared" ref="AK201" si="352">IF($W200="F",AK196,AK196+AK200)</f>
        <v>30</v>
      </c>
      <c r="AL201" s="1741">
        <f t="shared" ref="AL201" si="353">IF($Y200="F",AL196,AL196+AL200)</f>
        <v>10</v>
      </c>
      <c r="AM201" s="1741">
        <f t="shared" ref="AM201" si="354">IF($Y200="F",AM196,AM196+AM200)</f>
        <v>34</v>
      </c>
      <c r="AN201" s="1741">
        <f t="shared" ref="AN201" si="355">IF(AND($AA192="V",$AA200="F"),AN192,IF(AND($AA192="F",$AA200="V"),AN200,IF(AND($AA192="V",$AA200="V"),AN192+AN200,0)))</f>
        <v>4</v>
      </c>
      <c r="AO201" s="1741">
        <f t="shared" ref="AO201" si="356">IF(AND($AA192="V",$AA200="F"),AO192,IF(AND($AA192="F",$AA200="V"),AO200,IF(AND($AA192="V",$AA200="V"),AO192+AO200,0)))</f>
        <v>7</v>
      </c>
      <c r="AY201" s="734"/>
      <c r="AZ201" s="734"/>
      <c r="BA201" s="87"/>
      <c r="BB201" s="442"/>
      <c r="BC201" s="89"/>
      <c r="BD201" s="446"/>
      <c r="BE201" s="446"/>
      <c r="BF201" s="89"/>
      <c r="BG201" s="447"/>
      <c r="BH201" s="447"/>
      <c r="BI201" s="443"/>
    </row>
    <row r="202" spans="1:78" x14ac:dyDescent="0.3">
      <c r="D202" s="16" t="s">
        <v>1092</v>
      </c>
      <c r="E202" s="16"/>
      <c r="F202" s="67"/>
      <c r="G202" s="438"/>
      <c r="H202" s="438"/>
      <c r="I202" s="2609" t="s">
        <v>1090</v>
      </c>
      <c r="J202" s="2610"/>
      <c r="K202" s="2611"/>
      <c r="L202" s="2603"/>
      <c r="M202" s="2603"/>
      <c r="N202" s="2603"/>
      <c r="O202" s="1347"/>
      <c r="P202" s="2606" t="s">
        <v>1089</v>
      </c>
      <c r="Q202" s="2607"/>
      <c r="R202" s="2608"/>
      <c r="S202" s="1394" t="s">
        <v>1088</v>
      </c>
      <c r="T202" s="1346"/>
      <c r="U202" s="1347"/>
      <c r="V202" s="145"/>
      <c r="W202" s="1387"/>
      <c r="X202" s="1388"/>
      <c r="Y202" s="1231"/>
      <c r="Z202" s="1231"/>
      <c r="AA202" s="1231"/>
      <c r="AB202" s="1231"/>
      <c r="AD202" s="10"/>
      <c r="AE202" s="10"/>
      <c r="AF202" s="10"/>
      <c r="AY202" s="734"/>
      <c r="AZ202" s="734"/>
      <c r="BA202" s="87"/>
      <c r="BB202" s="442"/>
      <c r="BC202" s="89"/>
      <c r="BD202" s="446"/>
      <c r="BE202" s="446"/>
      <c r="BF202" s="89"/>
      <c r="BG202" s="447"/>
      <c r="BH202" s="447"/>
      <c r="BI202" s="443"/>
    </row>
    <row r="203" spans="1:78" x14ac:dyDescent="0.3">
      <c r="B203" s="1699">
        <v>9</v>
      </c>
      <c r="D203" s="441" t="str">
        <f>'Cpts AR +indép + Sommaire'!B31</f>
        <v>Dénigre l'autre</v>
      </c>
      <c r="E203" s="84"/>
      <c r="F203" s="50"/>
      <c r="G203" s="18"/>
      <c r="H203" s="18"/>
      <c r="I203" s="2595" t="s">
        <v>604</v>
      </c>
      <c r="J203" s="2596"/>
      <c r="K203" s="2596"/>
      <c r="L203" s="2597" t="s">
        <v>1086</v>
      </c>
      <c r="M203" s="2597"/>
      <c r="N203" s="2597"/>
      <c r="O203" s="2598"/>
      <c r="P203" s="2599" t="s">
        <v>603</v>
      </c>
      <c r="Q203" s="2600"/>
      <c r="R203" s="2601"/>
      <c r="S203" s="2590" t="s">
        <v>605</v>
      </c>
      <c r="T203" s="2591"/>
      <c r="U203" s="2592"/>
      <c r="V203" s="15"/>
      <c r="W203" s="817"/>
      <c r="X203" s="817"/>
      <c r="Y203" s="817"/>
      <c r="Z203" s="817"/>
      <c r="AA203" s="817"/>
      <c r="AB203" s="818"/>
      <c r="AD203" s="10"/>
      <c r="AE203" s="10"/>
      <c r="AF203" s="10"/>
      <c r="AG203" s="1386" t="s">
        <v>604</v>
      </c>
      <c r="AH203" s="1386" t="s">
        <v>603</v>
      </c>
      <c r="AI203" s="1386" t="s">
        <v>605</v>
      </c>
      <c r="AJ203" s="2589" t="s">
        <v>604</v>
      </c>
      <c r="AK203" s="2589"/>
      <c r="AL203" s="2589" t="s">
        <v>603</v>
      </c>
      <c r="AM203" s="2589"/>
      <c r="AN203" s="2589" t="s">
        <v>605</v>
      </c>
      <c r="AO203" s="2589"/>
      <c r="AY203" s="734"/>
      <c r="AZ203" s="734"/>
      <c r="BA203" s="87"/>
      <c r="BB203" s="442"/>
      <c r="BC203" s="89"/>
      <c r="BD203" s="446"/>
      <c r="BE203" s="446"/>
      <c r="BF203" s="89"/>
      <c r="BG203" s="447"/>
      <c r="BH203" s="447"/>
      <c r="BI203" s="443"/>
    </row>
    <row r="204" spans="1:78" ht="34" x14ac:dyDescent="0.2">
      <c r="B204" s="1700"/>
      <c r="D204" s="79" t="s">
        <v>779</v>
      </c>
      <c r="E204" s="835" t="s">
        <v>778</v>
      </c>
      <c r="F204" s="26" t="s">
        <v>226</v>
      </c>
      <c r="G204" s="26" t="s">
        <v>22</v>
      </c>
      <c r="H204" s="26" t="s">
        <v>612</v>
      </c>
      <c r="I204" s="1348" t="s">
        <v>269</v>
      </c>
      <c r="J204" s="29" t="s">
        <v>270</v>
      </c>
      <c r="K204" s="29" t="s">
        <v>271</v>
      </c>
      <c r="L204" s="29" t="s">
        <v>363</v>
      </c>
      <c r="M204" s="29" t="s">
        <v>339</v>
      </c>
      <c r="N204" s="29" t="s">
        <v>340</v>
      </c>
      <c r="O204" s="1349" t="s">
        <v>341</v>
      </c>
      <c r="P204" s="1348" t="s">
        <v>269</v>
      </c>
      <c r="Q204" s="29" t="s">
        <v>270</v>
      </c>
      <c r="R204" s="1349" t="s">
        <v>271</v>
      </c>
      <c r="S204" s="1348" t="s">
        <v>269</v>
      </c>
      <c r="T204" s="29" t="s">
        <v>270</v>
      </c>
      <c r="U204" s="1349" t="s">
        <v>271</v>
      </c>
      <c r="V204" s="736"/>
      <c r="W204" s="827" t="s">
        <v>604</v>
      </c>
      <c r="X204" s="828" t="s">
        <v>754</v>
      </c>
      <c r="Y204" s="827" t="s">
        <v>603</v>
      </c>
      <c r="Z204" s="828" t="s">
        <v>755</v>
      </c>
      <c r="AA204" s="827" t="s">
        <v>605</v>
      </c>
      <c r="AB204" s="828" t="s">
        <v>756</v>
      </c>
      <c r="AD204" s="10"/>
      <c r="AE204" s="10"/>
      <c r="AF204" s="10"/>
      <c r="AG204" s="10"/>
      <c r="AH204" s="10"/>
      <c r="AI204" s="10"/>
      <c r="AJ204" s="1490" t="s">
        <v>1058</v>
      </c>
      <c r="AK204" s="1490" t="s">
        <v>1059</v>
      </c>
      <c r="AL204" s="1490" t="s">
        <v>1058</v>
      </c>
      <c r="AM204" s="1490" t="s">
        <v>1059</v>
      </c>
      <c r="AN204" s="1490" t="s">
        <v>1058</v>
      </c>
      <c r="AO204" s="1490" t="s">
        <v>1059</v>
      </c>
      <c r="AY204" s="734"/>
      <c r="AZ204" s="734"/>
      <c r="BA204" s="87"/>
      <c r="BB204" s="442"/>
      <c r="BC204" s="89"/>
      <c r="BD204" s="446"/>
      <c r="BE204" s="446"/>
      <c r="BF204" s="89"/>
      <c r="BG204" s="447"/>
      <c r="BH204" s="447"/>
      <c r="BI204" s="443"/>
    </row>
    <row r="205" spans="1:78" ht="21" x14ac:dyDescent="0.2">
      <c r="A205" t="str">
        <f>IF(Test_Bible!B186="","F","O")</f>
        <v>O</v>
      </c>
      <c r="B205" s="1531" t="str">
        <f>'Cpts AR +indép + Sommaire'!G31</f>
        <v>Dénigrement</v>
      </c>
      <c r="C205" s="379" t="str">
        <f>'Cpts AR +indép + Sommaire'!C31</f>
        <v>PFA13</v>
      </c>
      <c r="D205" s="25" t="str">
        <f>'Cpts AR +indép + Sommaire'!D31</f>
        <v>L’autre parent vous dénigre en la présence de votre enfant.</v>
      </c>
      <c r="E205" s="78" t="s">
        <v>629</v>
      </c>
      <c r="F205" s="709">
        <f>'Cpts AR +indép + Sommaire'!E31</f>
        <v>4</v>
      </c>
      <c r="G205" s="709">
        <f>'Cpts AR +indép + Sommaire'!F31</f>
        <v>1</v>
      </c>
      <c r="H205" s="709">
        <f>F205*G205</f>
        <v>4</v>
      </c>
      <c r="I205" s="1350">
        <v>4</v>
      </c>
      <c r="J205" s="1343">
        <v>10</v>
      </c>
      <c r="K205" s="31" t="b">
        <f>IF(AND(F205&gt;=I205,F205&lt;=J205),TRUE,FALSE)</f>
        <v>1</v>
      </c>
      <c r="L205" s="31"/>
      <c r="M205" s="31"/>
      <c r="N205" s="31"/>
      <c r="O205" s="1351"/>
      <c r="P205" s="1350">
        <v>1</v>
      </c>
      <c r="Q205" s="1343">
        <v>10</v>
      </c>
      <c r="R205" s="1351" t="b">
        <f>IF(AND(F205&gt;=P205,F205&lt;=Q205),TRUE,FALSE)</f>
        <v>1</v>
      </c>
      <c r="S205" s="1350">
        <v>2</v>
      </c>
      <c r="T205" s="1343">
        <v>7</v>
      </c>
      <c r="U205" s="1351" t="b">
        <f>IF(AND(F205&gt;=S205,F205&lt;=T205),TRUE,FALSE)</f>
        <v>1</v>
      </c>
      <c r="V205" s="807"/>
      <c r="W205" s="819"/>
      <c r="X205" s="820"/>
      <c r="Y205" s="819"/>
      <c r="Z205" s="820"/>
      <c r="AA205" s="819"/>
      <c r="AB205" s="820"/>
      <c r="AD205" s="10"/>
      <c r="AE205" s="10"/>
      <c r="AF205" s="10"/>
      <c r="AG205" s="832">
        <f>IF($K205=TRUE,H205,0)</f>
        <v>4</v>
      </c>
      <c r="AH205" s="832">
        <f>IF($R205=TRUE,H205,0)</f>
        <v>4</v>
      </c>
      <c r="AI205" s="832">
        <f>IF($U205=TRUE,H205,0)</f>
        <v>4</v>
      </c>
      <c r="AJ205" s="1490">
        <f t="shared" ref="AJ205:AJ206" si="357">IF(OR(I205=11,A205="F"),0,G205*I205)</f>
        <v>4</v>
      </c>
      <c r="AK205" s="1490">
        <f t="shared" ref="AK205:AK206" si="358">IF(OR(J205=11,A205="F"),0,G205*J205)</f>
        <v>10</v>
      </c>
      <c r="AL205" s="1490">
        <f t="shared" ref="AL205:AL206" si="359">IF(OR(P205=11,A205="F"),0,G205*P205)</f>
        <v>1</v>
      </c>
      <c r="AM205" s="1490">
        <f t="shared" ref="AM205:AM206" si="360">IF(OR(Q205=11,A205="F"),0,G205*Q205)</f>
        <v>10</v>
      </c>
      <c r="AN205" s="1490">
        <f t="shared" ref="AN205:AN206" si="361">IF(OR(S205=11,A205="F"),0,S205*G205)</f>
        <v>2</v>
      </c>
      <c r="AO205" s="1490">
        <f t="shared" ref="AO205:AO206" si="362">IF(OR(T205=11,A205="F"),0,T205*G205)</f>
        <v>7</v>
      </c>
      <c r="AY205" s="734"/>
      <c r="AZ205" s="734"/>
      <c r="BA205" s="87"/>
      <c r="BB205" s="442"/>
      <c r="BC205" s="89"/>
      <c r="BD205" s="446"/>
      <c r="BE205" s="446"/>
      <c r="BF205" s="89"/>
      <c r="BG205" s="447"/>
      <c r="BH205" s="447"/>
      <c r="BI205" s="443"/>
    </row>
    <row r="206" spans="1:78" ht="19" x14ac:dyDescent="0.2">
      <c r="B206" s="1702"/>
      <c r="C206" s="379" t="s">
        <v>260</v>
      </c>
      <c r="D206" s="25"/>
      <c r="E206" s="78"/>
      <c r="F206" s="709"/>
      <c r="G206" s="708"/>
      <c r="H206" s="709">
        <f>F206*G206</f>
        <v>0</v>
      </c>
      <c r="I206" s="1374">
        <v>11</v>
      </c>
      <c r="J206" s="1375">
        <v>11</v>
      </c>
      <c r="K206" s="31" t="b">
        <f>IF(AND(F206&gt;=I206,F206&lt;=J206),TRUE,FALSE)</f>
        <v>0</v>
      </c>
      <c r="L206" s="31"/>
      <c r="M206" s="31"/>
      <c r="N206" s="31"/>
      <c r="O206" s="1351"/>
      <c r="P206" s="1374">
        <v>11</v>
      </c>
      <c r="Q206" s="1375">
        <v>11</v>
      </c>
      <c r="R206" s="1351" t="b">
        <f>IF(AND(F206&gt;=P206,F206&lt;=Q206),TRUE,FALSE)</f>
        <v>0</v>
      </c>
      <c r="S206" s="1374">
        <v>11</v>
      </c>
      <c r="T206" s="1375">
        <v>11</v>
      </c>
      <c r="U206" s="1351" t="b">
        <f>IF(AND(F206&gt;=S206,F206&lt;=T206),TRUE,FALSE)</f>
        <v>0</v>
      </c>
      <c r="V206" s="807"/>
      <c r="W206" s="821"/>
      <c r="X206" s="822"/>
      <c r="Y206" s="821"/>
      <c r="Z206" s="822"/>
      <c r="AA206" s="821"/>
      <c r="AB206" s="822"/>
      <c r="AD206" s="10"/>
      <c r="AE206" s="10"/>
      <c r="AF206" s="10"/>
      <c r="AG206" s="832">
        <f>IF($K206=TRUE,H206,0)</f>
        <v>0</v>
      </c>
      <c r="AH206" s="832">
        <f>IF($R206=TRUE,H206,0)</f>
        <v>0</v>
      </c>
      <c r="AI206" s="832">
        <f>IF($U206=TRUE,H206,0)</f>
        <v>0</v>
      </c>
      <c r="AJ206" s="1490">
        <f t="shared" si="357"/>
        <v>0</v>
      </c>
      <c r="AK206" s="1490">
        <f t="shared" si="358"/>
        <v>0</v>
      </c>
      <c r="AL206" s="1490">
        <f t="shared" si="359"/>
        <v>0</v>
      </c>
      <c r="AM206" s="1490">
        <f t="shared" si="360"/>
        <v>0</v>
      </c>
      <c r="AN206" s="1490">
        <f t="shared" si="361"/>
        <v>0</v>
      </c>
      <c r="AO206" s="1490">
        <f t="shared" si="362"/>
        <v>0</v>
      </c>
      <c r="AY206" s="734"/>
      <c r="AZ206" s="734"/>
      <c r="BA206" s="87"/>
      <c r="BB206" s="442"/>
      <c r="BC206" s="89"/>
      <c r="BD206" s="446"/>
      <c r="BE206" s="446"/>
      <c r="BF206" s="89"/>
      <c r="BG206" s="447"/>
      <c r="BH206" s="447"/>
      <c r="BI206" s="443"/>
    </row>
    <row r="207" spans="1:78" ht="19" x14ac:dyDescent="0.2">
      <c r="B207" s="1531"/>
      <c r="C207" s="710" t="s">
        <v>609</v>
      </c>
      <c r="D207" s="711" t="str">
        <f>_xlfn.XLOOKUP(H207,H205:H206,D205:D206)</f>
        <v>L’autre parent vous dénigre en la présence de votre enfant.</v>
      </c>
      <c r="E207" s="712" t="str">
        <f>_xlfn.XLOOKUP(H207,H205:H206,E205:E206)</f>
        <v>dénigre en la présence de l'enfant</v>
      </c>
      <c r="F207" s="713"/>
      <c r="G207" s="713"/>
      <c r="H207" s="713">
        <f>IF(AND(K205=TRUE,K206=FALSE),H205,IF(AND(K205=FALSE,K206=TRUE),H206,MAX(H205,H206)))</f>
        <v>4</v>
      </c>
      <c r="I207" s="1352"/>
      <c r="J207" s="714"/>
      <c r="K207" s="715" t="b">
        <f>IF(AND(K205=FALSE,K206=FALSE),FALSE,TRUE)</f>
        <v>1</v>
      </c>
      <c r="L207" s="31"/>
      <c r="M207" s="31"/>
      <c r="N207" s="31"/>
      <c r="O207" s="1351"/>
      <c r="P207" s="1352"/>
      <c r="Q207" s="714"/>
      <c r="R207" s="1365" t="b">
        <f>IF(AND(R205=FALSE,R206=FALSE),FALSE,TRUE)</f>
        <v>1</v>
      </c>
      <c r="S207" s="1352"/>
      <c r="T207" s="714"/>
      <c r="U207" s="1365" t="b">
        <f>IF(AND(U205=FALSE,U206=FALSE),FALSE,TRUE)</f>
        <v>1</v>
      </c>
      <c r="V207" s="807"/>
      <c r="W207" s="821"/>
      <c r="X207" s="822"/>
      <c r="Y207" s="821"/>
      <c r="Z207" s="822"/>
      <c r="AA207" s="821"/>
      <c r="AB207" s="822"/>
      <c r="AD207" s="10"/>
      <c r="AE207" s="10"/>
      <c r="AF207" s="10"/>
      <c r="AG207" s="1740">
        <f>IF($K207=TRUE,MAX(AG205:AG206),0)</f>
        <v>4</v>
      </c>
      <c r="AH207" s="1740">
        <f>IF($R207=TRUE,MAX(AH205:AH206),0)</f>
        <v>4</v>
      </c>
      <c r="AI207" s="1740">
        <f>IF($U207=TRUE,MAX(AI205:AI206),0)</f>
        <v>4</v>
      </c>
      <c r="AJ207" s="1739">
        <f>MAX(AJ205:AJ206)</f>
        <v>4</v>
      </c>
      <c r="AK207" s="1739">
        <f t="shared" ref="AK207" si="363">MAX(AK205:AK206)</f>
        <v>10</v>
      </c>
      <c r="AL207" s="1739">
        <f t="shared" ref="AL207" si="364">MAX(AL205:AL206)</f>
        <v>1</v>
      </c>
      <c r="AM207" s="1739">
        <f t="shared" ref="AM207" si="365">MAX(AM205:AM206)</f>
        <v>10</v>
      </c>
      <c r="AN207" s="1739">
        <f t="shared" ref="AN207" si="366">MAX(AN205:AN206)</f>
        <v>2</v>
      </c>
      <c r="AO207" s="1739">
        <f t="shared" ref="AO207" si="367">MAX(AO205:AO206)</f>
        <v>7</v>
      </c>
      <c r="AY207" s="734"/>
      <c r="AZ207" s="734"/>
      <c r="BA207" s="87"/>
      <c r="BB207" s="442"/>
      <c r="BC207" s="89"/>
      <c r="BD207" s="446"/>
      <c r="BE207" s="446"/>
      <c r="BF207" s="89"/>
      <c r="BG207" s="447"/>
      <c r="BH207" s="447"/>
      <c r="BI207" s="443"/>
    </row>
    <row r="208" spans="1:78" ht="34" x14ac:dyDescent="0.2">
      <c r="A208" t="str">
        <f>IF(Test_Bible!B415="","F","O")</f>
        <v>O</v>
      </c>
      <c r="B208" s="1700" t="str">
        <f>'Cpts AR +indép + Sommaire'!M31</f>
        <v>Dénigrement</v>
      </c>
      <c r="C208" s="38" t="str">
        <f>'Cpts AR +indép + Sommaire'!I31</f>
        <v>NC04a1</v>
      </c>
      <c r="D208" s="25" t="str">
        <f>'Cpts AR +indép + Sommaire'!J31</f>
        <v>Arrive-t-il que le nouveau ou nouvelle conjoint·e vous critique ou dénigre vos compétences parentales devant votre enfant ?</v>
      </c>
      <c r="E208" s="78" t="s">
        <v>1543</v>
      </c>
      <c r="F208" s="709">
        <f>'Cpts AR +indép + Sommaire'!K31</f>
        <v>1</v>
      </c>
      <c r="G208" s="709">
        <f>'Cpts AR +indép + Sommaire'!L31</f>
        <v>3</v>
      </c>
      <c r="H208" s="709">
        <f>F208*G208</f>
        <v>3</v>
      </c>
      <c r="I208" s="1350">
        <v>4</v>
      </c>
      <c r="J208" s="1343">
        <v>10</v>
      </c>
      <c r="K208" s="31" t="b">
        <f>IF(AND(F208&gt;=I208,F208&lt;=J208),TRUE,FALSE)</f>
        <v>0</v>
      </c>
      <c r="L208" s="31"/>
      <c r="M208" s="31"/>
      <c r="N208" s="31"/>
      <c r="O208" s="1351"/>
      <c r="P208" s="1350">
        <v>2</v>
      </c>
      <c r="Q208" s="1343">
        <v>10</v>
      </c>
      <c r="R208" s="1351" t="b">
        <f>IF(AND(F208&gt;=P208,F208&lt;=Q208),TRUE,FALSE)</f>
        <v>0</v>
      </c>
      <c r="S208" s="1350">
        <v>4</v>
      </c>
      <c r="T208" s="1343">
        <v>10</v>
      </c>
      <c r="U208" s="1351" t="b">
        <f>IF(AND(F208&gt;=S208,F208&lt;=T208),TRUE,FALSE)</f>
        <v>0</v>
      </c>
      <c r="V208" s="807"/>
      <c r="W208" s="821"/>
      <c r="X208" s="822"/>
      <c r="Y208" s="821"/>
      <c r="Z208" s="822"/>
      <c r="AA208" s="821"/>
      <c r="AB208" s="822"/>
      <c r="AD208" s="10"/>
      <c r="AE208" s="10"/>
      <c r="AF208" s="10"/>
      <c r="AG208" s="832">
        <f>IF(K208=TRUE,H208,0)</f>
        <v>0</v>
      </c>
      <c r="AH208" s="832">
        <f>IF(R208=TRUE,H208,0)</f>
        <v>0</v>
      </c>
      <c r="AI208" s="832">
        <f>IF(U208=TRUE,H208,0)</f>
        <v>0</v>
      </c>
      <c r="AJ208" s="1490">
        <f t="shared" ref="AJ208:AJ209" si="368">IF(OR(I208=11,A208="F"),0,G208*I208)</f>
        <v>12</v>
      </c>
      <c r="AK208" s="1490">
        <f t="shared" ref="AK208:AK209" si="369">IF(OR(J208=11,A208="F"),0,G208*J208)</f>
        <v>30</v>
      </c>
      <c r="AL208" s="1490">
        <f t="shared" ref="AL208:AL209" si="370">IF(OR(P208=11,A208="F"),0,G208*P208)</f>
        <v>6</v>
      </c>
      <c r="AM208" s="1490">
        <f t="shared" ref="AM208:AM209" si="371">IF(OR(Q208=11,A208="F"),0,G208*Q208)</f>
        <v>30</v>
      </c>
      <c r="AN208" s="1490">
        <f t="shared" ref="AN208:AN209" si="372">IF(OR(S208=11,A208="F"),0,S208*G208)</f>
        <v>12</v>
      </c>
      <c r="AO208" s="1490">
        <f t="shared" ref="AO208:AO209" si="373">IF(OR(T208=11,A208="F"),0,T208*G208)</f>
        <v>30</v>
      </c>
      <c r="AY208" s="734"/>
      <c r="AZ208" s="734"/>
      <c r="BA208" s="87"/>
      <c r="BB208" s="442"/>
      <c r="BC208" s="89"/>
      <c r="BD208" s="446"/>
      <c r="BE208" s="446"/>
      <c r="BF208" s="89"/>
      <c r="BG208" s="447"/>
      <c r="BH208" s="447"/>
      <c r="BI208" s="443"/>
    </row>
    <row r="209" spans="1:78" ht="34" x14ac:dyDescent="0.2">
      <c r="A209" t="str">
        <f>IF(Test_Bible!B414="","F","O")</f>
        <v>O</v>
      </c>
      <c r="B209" s="1700" t="str">
        <f>'Cpts AR +indép + Sommaire'!M32</f>
        <v>Dénigrement</v>
      </c>
      <c r="C209" s="38" t="str">
        <f>'Cpts AR +indép + Sommaire'!I32</f>
        <v>NC04a</v>
      </c>
      <c r="D209" s="25" t="str">
        <f>'Cpts AR +indép + Sommaire'!J32</f>
        <v>Le nouveau ou nouvelle conjoint·e dénigre vos compétences parentales par texto, courriel ou autres?</v>
      </c>
      <c r="E209" s="78" t="s">
        <v>1542</v>
      </c>
      <c r="F209" s="709">
        <f>'Cpts AR +indép + Sommaire'!K32</f>
        <v>4</v>
      </c>
      <c r="G209" s="709">
        <f>'Cpts AR +indép + Sommaire'!L32</f>
        <v>3</v>
      </c>
      <c r="H209" s="27">
        <f>F209*G209</f>
        <v>12</v>
      </c>
      <c r="I209" s="1350">
        <v>4</v>
      </c>
      <c r="J209" s="1343">
        <v>10</v>
      </c>
      <c r="K209" s="31" t="b">
        <f>IF(AND(F209&gt;=I209,F209&lt;=J209),TRUE,FALSE)</f>
        <v>1</v>
      </c>
      <c r="L209" s="31"/>
      <c r="M209" s="31"/>
      <c r="N209" s="31"/>
      <c r="O209" s="1351"/>
      <c r="P209" s="1374">
        <v>11</v>
      </c>
      <c r="Q209" s="1375">
        <v>11</v>
      </c>
      <c r="R209" s="1351" t="b">
        <f>IF(AND(F209&gt;=P209,F209&lt;=Q209),TRUE,FALSE)</f>
        <v>0</v>
      </c>
      <c r="S209" s="1350">
        <v>2</v>
      </c>
      <c r="T209" s="1343">
        <v>10</v>
      </c>
      <c r="U209" s="1351" t="b">
        <f>IF(AND(F209&gt;=S209,F209&lt;=T209),TRUE,FALSE)</f>
        <v>1</v>
      </c>
      <c r="V209" s="807"/>
      <c r="W209" s="821"/>
      <c r="X209" s="822"/>
      <c r="Y209" s="821"/>
      <c r="Z209" s="822"/>
      <c r="AA209" s="821"/>
      <c r="AB209" s="822"/>
      <c r="AD209" s="10"/>
      <c r="AE209" s="10"/>
      <c r="AF209" s="10"/>
      <c r="AG209" s="832">
        <f>IF(K209=TRUE,H209,0)</f>
        <v>12</v>
      </c>
      <c r="AH209" s="832">
        <f>IF(R209=TRUE,H209,0)</f>
        <v>0</v>
      </c>
      <c r="AI209" s="832">
        <f>IF(U209=TRUE,H209,0)</f>
        <v>12</v>
      </c>
      <c r="AJ209" s="1490">
        <f t="shared" si="368"/>
        <v>12</v>
      </c>
      <c r="AK209" s="1490">
        <f t="shared" si="369"/>
        <v>30</v>
      </c>
      <c r="AL209" s="1490">
        <f t="shared" si="370"/>
        <v>0</v>
      </c>
      <c r="AM209" s="1490">
        <f t="shared" si="371"/>
        <v>0</v>
      </c>
      <c r="AN209" s="1490">
        <f t="shared" si="372"/>
        <v>6</v>
      </c>
      <c r="AO209" s="1490">
        <f t="shared" si="373"/>
        <v>30</v>
      </c>
      <c r="AV209" s="7"/>
      <c r="AX209" s="7"/>
      <c r="AY209" s="734"/>
      <c r="AZ209" s="734"/>
      <c r="BA209" s="87"/>
      <c r="BB209" s="442"/>
      <c r="BC209" s="89"/>
      <c r="BD209" s="446"/>
      <c r="BE209" s="446"/>
      <c r="BF209" s="89"/>
      <c r="BG209" s="447"/>
      <c r="BH209" s="447"/>
      <c r="BI209" s="443"/>
      <c r="BN209" s="25"/>
      <c r="BP209" s="7"/>
      <c r="BQ209" s="7"/>
      <c r="BR209" s="7"/>
      <c r="BS209" s="7"/>
      <c r="BT209" s="7"/>
      <c r="BU209" s="7"/>
      <c r="BV209" s="7"/>
      <c r="BW209" s="7"/>
      <c r="BX209" s="7"/>
      <c r="BY209" s="7"/>
      <c r="BZ209" s="7"/>
    </row>
    <row r="210" spans="1:78" ht="35" thickBot="1" x14ac:dyDescent="0.25">
      <c r="B210" s="1700"/>
      <c r="C210" s="716" t="s">
        <v>610</v>
      </c>
      <c r="D210" s="717" t="str">
        <f>_xlfn.XLOOKUP(H210,H208:H209,D208:D209)</f>
        <v>Le nouveau ou nouvelle conjoint·e dénigre vos compétences parentales par texto, courriel ou autres?</v>
      </c>
      <c r="E210" s="718" t="str">
        <f>_xlfn.XLOOKUP(H210,H208:H209,E208:E209)</f>
        <v>dénigre vos compétences parentales par texto, courriel, etc.</v>
      </c>
      <c r="F210" s="719"/>
      <c r="G210" s="719"/>
      <c r="H210" s="713">
        <f>IF(AND(K208=TRUE,K209=FALSE),H208,IF(AND(K208=FALSE,K209=TRUE),H209,MAX(H208,H209)))</f>
        <v>12</v>
      </c>
      <c r="I210" s="1353"/>
      <c r="J210" s="720"/>
      <c r="K210" s="721" t="b">
        <f>IF(AND(K208=FALSE,K209=FALSE),FALSE,TRUE)</f>
        <v>1</v>
      </c>
      <c r="L210" s="31"/>
      <c r="M210" s="31"/>
      <c r="N210" s="31"/>
      <c r="O210" s="1351"/>
      <c r="P210" s="1353"/>
      <c r="Q210" s="720"/>
      <c r="R210" s="1366" t="b">
        <f>IF(AND(R208=FALSE,R209=FALSE),FALSE,TRUE)</f>
        <v>0</v>
      </c>
      <c r="S210" s="1353"/>
      <c r="T210" s="720"/>
      <c r="U210" s="1366" t="b">
        <f>IF(AND(U208=FALSE,U209=FALSE),FALSE,TRUE)</f>
        <v>1</v>
      </c>
      <c r="V210" s="807"/>
      <c r="W210" s="821"/>
      <c r="X210" s="822"/>
      <c r="Y210" s="821"/>
      <c r="Z210" s="822"/>
      <c r="AA210" s="821"/>
      <c r="AB210" s="822"/>
      <c r="AD210" s="10"/>
      <c r="AE210" s="10"/>
      <c r="AF210" s="10"/>
      <c r="AG210" s="1740">
        <f>IF($K210=TRUE,MAX(AG208:AG209),0)</f>
        <v>12</v>
      </c>
      <c r="AH210" s="1740">
        <f>IF($R210=TRUE,MAX(AH208:AH209),0)</f>
        <v>0</v>
      </c>
      <c r="AI210" s="1740">
        <f>IF($U210=TRUE,MAX(AI208:AI209),0)</f>
        <v>12</v>
      </c>
      <c r="AJ210" s="1739">
        <f>MAX(AJ208:AJ209)</f>
        <v>12</v>
      </c>
      <c r="AK210" s="1739">
        <f t="shared" ref="AK210" si="374">MAX(AK208:AK209)</f>
        <v>30</v>
      </c>
      <c r="AL210" s="1739">
        <f t="shared" ref="AL210" si="375">MAX(AL208:AL209)</f>
        <v>6</v>
      </c>
      <c r="AM210" s="1739">
        <f t="shared" ref="AM210" si="376">MAX(AM208:AM209)</f>
        <v>30</v>
      </c>
      <c r="AN210" s="1739">
        <f t="shared" ref="AN210" si="377">MAX(AN208:AN209)</f>
        <v>12</v>
      </c>
      <c r="AO210" s="1739">
        <f t="shared" ref="AO210" si="378">MAX(AO208:AO209)</f>
        <v>30</v>
      </c>
      <c r="AV210" s="7"/>
      <c r="AX210" s="7"/>
      <c r="AY210" s="734"/>
      <c r="AZ210" s="734"/>
      <c r="BA210" s="87"/>
      <c r="BB210" s="442"/>
      <c r="BC210" s="89"/>
      <c r="BD210" s="446"/>
      <c r="BE210" s="446"/>
      <c r="BF210" s="89"/>
      <c r="BG210" s="447"/>
      <c r="BH210" s="447"/>
      <c r="BI210" s="443"/>
      <c r="BN210" s="25"/>
      <c r="BP210" s="7"/>
      <c r="BQ210" s="7"/>
      <c r="BR210" s="7"/>
      <c r="BS210" s="7"/>
      <c r="BT210" s="7"/>
      <c r="BU210" s="7"/>
      <c r="BV210" s="7"/>
      <c r="BW210" s="7"/>
      <c r="BX210" s="7"/>
      <c r="BY210" s="7"/>
      <c r="BZ210" s="7"/>
    </row>
    <row r="211" spans="1:78" ht="35" thickBot="1" x14ac:dyDescent="0.25">
      <c r="B211" s="1700"/>
      <c r="C211" s="722" t="s">
        <v>616</v>
      </c>
      <c r="D211" s="723"/>
      <c r="E211" s="723" t="str">
        <f>IF(H211=H207,E207,E210)</f>
        <v>dénigre vos compétences parentales par texto, courriel, etc.</v>
      </c>
      <c r="F211" s="724"/>
      <c r="G211" s="724"/>
      <c r="H211" s="724">
        <f>IF(AND(K207=TRUE,K210=FALSE),H207,IF(AND(K207=FALSE,K210=TRUE),H210,IF(AND(K207=TRUE,K210=TRUE),H207+H210,MAX(H207,H210))))</f>
        <v>16</v>
      </c>
      <c r="I211" s="1354"/>
      <c r="J211" s="725"/>
      <c r="K211" s="726" t="b">
        <f>IF(AND(K207=FALSE,K210=FALSE),FALSE,TRUE)</f>
        <v>1</v>
      </c>
      <c r="L211" s="1338"/>
      <c r="M211" s="1338"/>
      <c r="N211" s="1338"/>
      <c r="O211" s="1355"/>
      <c r="P211" s="1354"/>
      <c r="Q211" s="725"/>
      <c r="R211" s="726" t="b">
        <f>IF(AND(R207=FALSE,R210=FALSE),FALSE,TRUE)</f>
        <v>1</v>
      </c>
      <c r="S211" s="1354"/>
      <c r="T211" s="725"/>
      <c r="U211" s="726" t="b">
        <f>IF(AND(U207=FALSE,U210=FALSE),FALSE,TRUE)</f>
        <v>1</v>
      </c>
      <c r="V211" s="807"/>
      <c r="W211" s="821" t="str">
        <f>IF(K211=TRUE,"V","F")</f>
        <v>V</v>
      </c>
      <c r="X211" s="822"/>
      <c r="Y211" s="821" t="str">
        <f>IF(R211=TRUE,"V","F")</f>
        <v>V</v>
      </c>
      <c r="Z211" s="822"/>
      <c r="AA211" s="821" t="str">
        <f>IF(U211=TRUE,"V","F")</f>
        <v>V</v>
      </c>
      <c r="AB211" s="822"/>
      <c r="AC211" t="str">
        <f>IF(OR(W211="V",Y211="V"),IF(H210&gt;H207,"Le NC contribue plus que le coparent","Le coparent joue un plus grand rôle que le NC"),"pas de contexte significatif de la part du coparent et NC")</f>
        <v>Le NC contribue plus que le coparent</v>
      </c>
      <c r="AD211" s="10"/>
      <c r="AE211" s="10"/>
      <c r="AF211" s="10"/>
      <c r="AG211" s="591">
        <f>IF(AND($K207=TRUE,$K210=FALSE),AG207,IF(AND($K207=FALSE,$K210=TRUE),AG210,IF(AND($K207=TRUE,$K210=TRUE),AG207+AG210,0)))</f>
        <v>16</v>
      </c>
      <c r="AH211" s="591">
        <f>IF(AND($R207=TRUE,$R210=FALSE),AH207,IF(AND($R207=FALSE,$R210=TRUE),AH210,IF(AND($R207=TRUE,$R210=TRUE),AH207+AH210,0)))</f>
        <v>4</v>
      </c>
      <c r="AI211" s="591">
        <f>IF(AND($U207=TRUE,$U210=FALSE),AI207,IF(AND($U207=FALSE,$U210=TRUE),AI210,IF(AND($U207=TRUE,$U210=TRUE),AI207+AI210,0)))</f>
        <v>16</v>
      </c>
      <c r="AJ211" s="591">
        <f>IF(AND($K207=TRUE,$K210=FALSE),AJ207,IF(AND($K207=FALSE,$K210=TRUE),AJ210,IF(AND($K207=TRUE,$K210=TRUE),AJ207+AJ210,MAX(AJ207,AJ210))))</f>
        <v>16</v>
      </c>
      <c r="AK211" s="591">
        <f>IF(AND($K207=TRUE,$K210=FALSE),AK207,IF(AND($K207=FALSE,$K210=TRUE),AK210,IF(AND($K207=TRUE,$K210=TRUE),AK207+AK210,MAX(AK207,AK210))))</f>
        <v>40</v>
      </c>
      <c r="AL211" s="591">
        <f t="shared" ref="AL211" si="379">IF(AND($R207=TRUE,$R210=FALSE),AL207,IF(AND($R207=FALSE,$R210=TRUE),AL210,IF(AND($R207=TRUE,$R210=TRUE),AL207+AL210,MAX(AL207,AL210))))</f>
        <v>1</v>
      </c>
      <c r="AM211" s="591">
        <f t="shared" ref="AM211" si="380">IF(AND($R207=TRUE,$R210=FALSE),AM207,IF(AND($R207=FALSE,$R210=TRUE),AM210,IF(AND($R207=TRUE,$R210=TRUE),AM207+AM210,MAX(AM207,AM210))))</f>
        <v>10</v>
      </c>
      <c r="AN211" s="591">
        <f t="shared" ref="AN211" si="381">IF(AND($U207=TRUE,$U210=FALSE),AN207,IF(AND($U207=FALSE,$U210=TRUE),AN210,IF(AND($U207=TRUE,$U210=TRUE),AN207+AN210,MAX(AN207,AN210))))</f>
        <v>14</v>
      </c>
      <c r="AO211" s="591">
        <f t="shared" ref="AO211" si="382">IF(AND($U207=TRUE,$U210=FALSE),AO207,IF(AND($U207=FALSE,$U210=TRUE),AO210,IF(AND($U207=TRUE,$U210=TRUE),AO207+AO210,MAX(AO207,AO210))))</f>
        <v>37</v>
      </c>
      <c r="AV211" s="7"/>
      <c r="AX211" s="7"/>
      <c r="AY211" s="734"/>
      <c r="AZ211" s="734"/>
      <c r="BA211" s="87"/>
      <c r="BB211" s="442"/>
      <c r="BC211" s="89"/>
      <c r="BD211" s="446"/>
      <c r="BE211" s="446"/>
      <c r="BF211" s="89"/>
      <c r="BG211" s="447"/>
      <c r="BH211" s="447"/>
      <c r="BI211" s="443"/>
      <c r="BN211" s="25"/>
      <c r="BP211" s="7"/>
      <c r="BQ211" s="7"/>
      <c r="BR211" s="7"/>
      <c r="BS211" s="7"/>
      <c r="BT211" s="7"/>
      <c r="BU211" s="7"/>
      <c r="BV211" s="7"/>
      <c r="BW211" s="7"/>
      <c r="BX211" s="7"/>
      <c r="BY211" s="7"/>
      <c r="BZ211" s="7"/>
    </row>
    <row r="212" spans="1:78" ht="34" x14ac:dyDescent="0.2">
      <c r="A212" t="str">
        <f>IF(Test_Bible!B311="","F","O")</f>
        <v>O</v>
      </c>
      <c r="B212" s="1700" t="str">
        <f>'Cpts AR +indép + Sommaire'!S31</f>
        <v>Dénigrement</v>
      </c>
      <c r="C212" s="287" t="str">
        <f>'Cpts AR +indép + Sommaire'!O31</f>
        <v>E12</v>
      </c>
      <c r="D212" s="25" t="str">
        <f>'Cpts AR +indép + Sommaire'!P31</f>
        <v xml:space="preserve">Est-il déjà arrivé que votre enfant dénigre vos compétences parentales devant l’autre parent ? </v>
      </c>
      <c r="E212" s="78" t="s">
        <v>630</v>
      </c>
      <c r="F212" s="709">
        <f>'Cpts AR +indép + Sommaire'!Q31</f>
        <v>1</v>
      </c>
      <c r="G212" s="709">
        <f>'Cpts AR +indép + Sommaire'!R31</f>
        <v>3</v>
      </c>
      <c r="H212" s="709">
        <f>F212*G212</f>
        <v>3</v>
      </c>
      <c r="I212" s="1350">
        <v>2</v>
      </c>
      <c r="J212" s="1343">
        <v>10</v>
      </c>
      <c r="K212" s="31" t="b">
        <f>IF(AND(F212&gt;=I212,F212&lt;=J212),TRUE,FALSE)</f>
        <v>0</v>
      </c>
      <c r="L212" s="31"/>
      <c r="M212" s="31"/>
      <c r="N212" s="31"/>
      <c r="O212" s="1351"/>
      <c r="P212" s="1350">
        <v>1</v>
      </c>
      <c r="Q212" s="1343">
        <v>4</v>
      </c>
      <c r="R212" s="1351" t="b">
        <f>IF(AND(F212&gt;=P212,F212&lt;=Q212),TRUE,FALSE)</f>
        <v>1</v>
      </c>
      <c r="S212" s="1350"/>
      <c r="T212" s="1343"/>
      <c r="U212" s="1351"/>
      <c r="V212" s="807"/>
      <c r="W212" s="821" t="s">
        <v>753</v>
      </c>
      <c r="X212" s="822"/>
      <c r="Y212" s="821"/>
      <c r="Z212" s="822"/>
      <c r="AA212" s="821"/>
      <c r="AB212" s="822"/>
      <c r="AD212" s="10"/>
      <c r="AE212" s="10"/>
      <c r="AF212" s="10"/>
      <c r="AG212" s="832">
        <f>IF($K212=TRUE,H212,0)</f>
        <v>0</v>
      </c>
      <c r="AH212" s="832">
        <f>IF($R212=TRUE,H212,0)</f>
        <v>3</v>
      </c>
      <c r="AI212" s="832"/>
      <c r="AJ212" s="1490">
        <f t="shared" ref="AJ212:AJ213" si="383">IF(OR(I212=11,A212="F"),0,G212*I212)</f>
        <v>6</v>
      </c>
      <c r="AK212" s="1490">
        <f t="shared" ref="AK212:AK213" si="384">IF(OR(J212=11,A212="F"),0,G212*J212)</f>
        <v>30</v>
      </c>
      <c r="AL212" s="1490">
        <f t="shared" ref="AL212:AL213" si="385">IF(OR(P212=11,A212="F"),0,G212*P212)</f>
        <v>3</v>
      </c>
      <c r="AM212" s="1490">
        <f t="shared" ref="AM212:AM213" si="386">IF(OR(Q212=11,A212="F"),0,G212*Q212)</f>
        <v>12</v>
      </c>
      <c r="AN212" s="1490">
        <f t="shared" ref="AN212:AN213" si="387">IF(OR(S212=11,A212="F"),0,S212*G212)</f>
        <v>0</v>
      </c>
      <c r="AO212" s="1490">
        <f t="shared" ref="AO212:AO213" si="388">IF(OR(T212=11,A212="F"),0,T212*G212)</f>
        <v>0</v>
      </c>
      <c r="AV212" s="7"/>
      <c r="AX212" s="7"/>
      <c r="AY212" s="734"/>
      <c r="AZ212" s="734"/>
      <c r="BA212" s="87"/>
      <c r="BB212" s="442"/>
      <c r="BC212" s="89"/>
      <c r="BD212" s="446"/>
      <c r="BE212" s="446"/>
      <c r="BF212" s="89"/>
      <c r="BG212" s="447"/>
      <c r="BH212" s="447"/>
      <c r="BI212" s="443"/>
      <c r="BN212" s="25"/>
      <c r="BP212" s="7"/>
      <c r="BQ212" s="7"/>
      <c r="BR212" s="7"/>
      <c r="BS212" s="7"/>
      <c r="BT212" s="7"/>
      <c r="BU212" s="7"/>
      <c r="BV212" s="7"/>
      <c r="BW212" s="7"/>
      <c r="BX212" s="7"/>
      <c r="BY212" s="7"/>
      <c r="BZ212" s="7"/>
    </row>
    <row r="213" spans="1:78" ht="20" thickBot="1" x14ac:dyDescent="0.25">
      <c r="B213" s="1700"/>
      <c r="C213" s="287" t="s">
        <v>272</v>
      </c>
      <c r="D213" s="25"/>
      <c r="E213" s="78"/>
      <c r="F213" s="709"/>
      <c r="G213" s="708"/>
      <c r="H213" s="709">
        <f>F213*G213</f>
        <v>0</v>
      </c>
      <c r="I213" s="1374">
        <v>11</v>
      </c>
      <c r="J213" s="1375">
        <v>11</v>
      </c>
      <c r="K213" s="31" t="b">
        <f>IF(AND(F213&gt;=I213,F213&lt;=J213),TRUE,FALSE)</f>
        <v>0</v>
      </c>
      <c r="L213" s="31"/>
      <c r="M213" s="31"/>
      <c r="N213" s="31"/>
      <c r="O213" s="1351"/>
      <c r="P213" s="1374">
        <v>11</v>
      </c>
      <c r="Q213" s="1375">
        <v>11</v>
      </c>
      <c r="R213" s="1351" t="b">
        <f>IF(AND(F213&gt;=P213,F213&lt;=Q213),TRUE,FALSE)</f>
        <v>0</v>
      </c>
      <c r="S213" s="1374"/>
      <c r="T213" s="1375"/>
      <c r="U213" s="1351"/>
      <c r="V213" s="807"/>
      <c r="W213" s="821"/>
      <c r="X213" s="822"/>
      <c r="Y213" s="821"/>
      <c r="Z213" s="822"/>
      <c r="AA213" s="821"/>
      <c r="AB213" s="822"/>
      <c r="AD213" s="10"/>
      <c r="AE213" s="10"/>
      <c r="AF213" s="10"/>
      <c r="AG213" s="832">
        <f>IF($K213=TRUE,H213,0)</f>
        <v>0</v>
      </c>
      <c r="AH213" s="832">
        <f>IF($R213=TRUE,H213,0)</f>
        <v>0</v>
      </c>
      <c r="AI213" s="832"/>
      <c r="AJ213" s="1490">
        <f t="shared" si="383"/>
        <v>0</v>
      </c>
      <c r="AK213" s="1490">
        <f t="shared" si="384"/>
        <v>0</v>
      </c>
      <c r="AL213" s="1490">
        <f t="shared" si="385"/>
        <v>0</v>
      </c>
      <c r="AM213" s="1490">
        <f t="shared" si="386"/>
        <v>0</v>
      </c>
      <c r="AN213" s="1490">
        <f t="shared" si="387"/>
        <v>0</v>
      </c>
      <c r="AO213" s="1490">
        <f t="shared" si="388"/>
        <v>0</v>
      </c>
      <c r="AV213" s="7"/>
      <c r="AX213" s="7"/>
      <c r="AY213" s="734"/>
      <c r="AZ213" s="734"/>
      <c r="BA213" s="87"/>
      <c r="BB213" s="442"/>
      <c r="BC213" s="89"/>
      <c r="BD213" s="446"/>
      <c r="BE213" s="446"/>
      <c r="BF213" s="89"/>
      <c r="BG213" s="447"/>
      <c r="BH213" s="447"/>
      <c r="BI213" s="443"/>
      <c r="BN213" s="25"/>
      <c r="BP213" s="7"/>
      <c r="BQ213" s="7"/>
      <c r="BR213" s="7"/>
      <c r="BS213" s="7"/>
      <c r="BT213" s="7"/>
      <c r="BU213" s="7"/>
      <c r="BV213" s="7"/>
      <c r="BW213" s="7"/>
      <c r="BX213" s="7"/>
      <c r="BY213" s="7"/>
      <c r="BZ213" s="7"/>
    </row>
    <row r="214" spans="1:78" ht="35" thickBot="1" x14ac:dyDescent="0.25">
      <c r="B214" s="1700"/>
      <c r="C214" s="727" t="s">
        <v>611</v>
      </c>
      <c r="D214" s="728" t="str">
        <f>_xlfn.XLOOKUP(H214,H212:H213,D212:D213)</f>
        <v xml:space="preserve">Est-il déjà arrivé que votre enfant dénigre vos compétences parentales devant l’autre parent ? </v>
      </c>
      <c r="E214" s="728" t="str">
        <f>_xlfn.XLOOKUP(H214,H212:H213,E212:E213)</f>
        <v>dénigre vos compétences parentales devant l'autre parent</v>
      </c>
      <c r="F214" s="729"/>
      <c r="G214" s="729"/>
      <c r="H214" s="729">
        <f>IF(AND(K212=TRUE,K213=FALSE),H212,IF(AND(K212=FALSE,K213=TRUE),H213,MAX(H212,H213)))</f>
        <v>3</v>
      </c>
      <c r="I214" s="1356"/>
      <c r="J214" s="730"/>
      <c r="K214" s="731" t="b">
        <f>IF(AND(K212=FALSE,K213=FALSE),FALSE,TRUE)</f>
        <v>0</v>
      </c>
      <c r="L214" s="1339"/>
      <c r="M214" s="1339"/>
      <c r="N214" s="1339"/>
      <c r="O214" s="1357"/>
      <c r="P214" s="1356"/>
      <c r="Q214" s="730"/>
      <c r="R214" s="731" t="b">
        <f>IF(AND(R212=FALSE,R213=FALSE),FALSE,TRUE)</f>
        <v>1</v>
      </c>
      <c r="S214" s="1356"/>
      <c r="T214" s="730"/>
      <c r="U214" s="731"/>
      <c r="V214" s="807"/>
      <c r="W214" s="821" t="str">
        <f>IF(K214=TRUE,"V","F")</f>
        <v>F</v>
      </c>
      <c r="X214" s="822"/>
      <c r="Y214" s="821" t="str">
        <f>IF(R214=TRUE,"V","F")</f>
        <v>V</v>
      </c>
      <c r="Z214" s="822"/>
      <c r="AA214" s="821"/>
      <c r="AB214" s="822"/>
      <c r="AD214" s="10"/>
      <c r="AE214" s="10"/>
      <c r="AF214" s="10"/>
      <c r="AG214" s="1742">
        <f>IF(AND($K212=TRUE,$K213=FALSE),AG212,IF(AND($K212=FALSE,$K213=TRUE),AG213,IF(AND($K212=TRUE,$K213=TRUE),MAX(AG212,AG213),0)))</f>
        <v>0</v>
      </c>
      <c r="AH214" s="1742">
        <f>IF(AND($R212=TRUE,$R213=FALSE),AH212,IF(AND($R212=FALSE,$R213=TRUE),AH213,IF(AND($R212=TRUE,$R213=TRUE),MAX(AH212,AH213),0)))</f>
        <v>3</v>
      </c>
      <c r="AI214" s="1742"/>
      <c r="AJ214" s="1742">
        <f>IF(AND($K212=TRUE,$K213=FALSE),AJ212,IF(AND($K212=FALSE,$K213=TRUE),AJ213,IF(AND($K212=TRUE,$K213=TRUE),MAX(AJ212,AJ213),0)))</f>
        <v>0</v>
      </c>
      <c r="AK214" s="1742">
        <f>IF(AND($K212=TRUE,$K213=FALSE),AK212,IF(AND($K212=FALSE,$K213=TRUE),AK213,IF(AND($K212=TRUE,$K213=TRUE),MAX(AK212,AK213),0)))</f>
        <v>0</v>
      </c>
      <c r="AL214" s="1742">
        <f t="shared" ref="AL214" si="389">IF(AND($R212=TRUE,$R213=FALSE),AL212,IF(AND($R212=FALSE,$R213=TRUE),AL213,IF(AND($R212=TRUE,$R213=TRUE),MAX(AL212,AL213),0)))</f>
        <v>3</v>
      </c>
      <c r="AM214" s="1742">
        <f t="shared" ref="AM214" si="390">IF(AND($R212=TRUE,$R213=FALSE),AM212,IF(AND($R212=FALSE,$R213=TRUE),AM213,IF(AND($R212=TRUE,$R213=TRUE),MAX(AM212,AM213),0)))</f>
        <v>12</v>
      </c>
      <c r="AN214" s="1742"/>
      <c r="AO214" s="1742"/>
      <c r="AY214" s="734"/>
      <c r="AZ214" s="734"/>
      <c r="BA214" s="87"/>
      <c r="BB214" s="442"/>
      <c r="BC214" s="89"/>
      <c r="BD214" s="446"/>
      <c r="BE214" s="446"/>
      <c r="BF214" s="89"/>
      <c r="BG214" s="447"/>
      <c r="BH214" s="447"/>
      <c r="BI214" s="443"/>
    </row>
    <row r="215" spans="1:78" ht="68" x14ac:dyDescent="0.2">
      <c r="B215" s="1700"/>
      <c r="D215" s="386" t="s">
        <v>273</v>
      </c>
      <c r="E215" s="705"/>
      <c r="F215" s="439" t="s">
        <v>349</v>
      </c>
      <c r="G215" s="33"/>
      <c r="H215" s="33">
        <f>IF(AND(K211=TRUE,K214=FALSE),H211,IF(AND(K211=FALSE,K214=TRUE),H214,IF(AND(K211=TRUE,K214=TRUE),H211+H214,MAX(H211,H214))))</f>
        <v>16</v>
      </c>
      <c r="I215" s="1358"/>
      <c r="J215" s="440"/>
      <c r="K215" s="1341"/>
      <c r="L215" s="1342" t="str">
        <f>IF(AND(K214=TRUE,K211=TRUE),E214,"")</f>
        <v/>
      </c>
      <c r="M215" s="1342" t="str">
        <f>IF(AND(K211=TRUE,K214=FALSE),"Bien que le parent "&amp;E211&amp;" l'enfant ne semble pas s'ingérer","")</f>
        <v>Bien que le parent dénigre vos compétences parentales par texto, courriel, etc. l'enfant ne semble pas s'ingérer</v>
      </c>
      <c r="N215" s="1342" t="str">
        <f>IF(AND(K211=FALSE,K214=TRUE),E214&amp;" sans signe de la participation du parent favorisé et|ou nouveau conjoint.e","")</f>
        <v/>
      </c>
      <c r="O215" s="1359" t="str">
        <f>IF(AND(K211=FALSE,K214=FALSE),"aucun comportement significatif de cette nature","")</f>
        <v/>
      </c>
      <c r="P215" s="1358"/>
      <c r="Q215" s="440"/>
      <c r="R215" s="1367"/>
      <c r="S215" s="1358"/>
      <c r="T215" s="440"/>
      <c r="U215" s="1367"/>
      <c r="V215" s="145"/>
      <c r="W215" s="823"/>
      <c r="X215" s="824">
        <f>IF(AND(W211="V",W214="V"),2,IF(OR(W211="V",W214="V"),1,0))</f>
        <v>1</v>
      </c>
      <c r="Y215" s="823"/>
      <c r="Z215" s="824">
        <f>IF(OR(Y211="V",Y214="V"),1,0)</f>
        <v>1</v>
      </c>
      <c r="AA215" s="823"/>
      <c r="AB215" s="824"/>
      <c r="AD215" s="10"/>
      <c r="AE215" s="10"/>
      <c r="AF215" s="10"/>
      <c r="AG215" s="1738">
        <f>IF(AND($W211="V",$W214="F"),AG211,IF(AND($W211="F",$W214="V"),AG214,IF(AND($W211="V",$W214="V"),AG211+AG214,0)))</f>
        <v>16</v>
      </c>
      <c r="AH215" s="1738">
        <f>IF(AND($Y211="V",$Y214="F"),AH211,IF(AND($Y211="F",$Y214="V"),AH214,IF(AND($Y211="V",$Y214="V"),AH211+AH214,0)))</f>
        <v>7</v>
      </c>
      <c r="AI215" s="1738"/>
      <c r="AJ215" s="1738">
        <f>IF(AND($W211="V",$W214="F"),AJ211,IF(AND($W211="F",$W214="V"),AJ214,IF(AND($W211="V",$W214="V"),AJ211+AJ214,0)))</f>
        <v>16</v>
      </c>
      <c r="AK215" s="1738">
        <f>IF(AND($W211="V",$W214="F"),AK211,IF(AND($W211="F",$W214="V"),AK214,IF(AND($W211="V",$W214="V"),AK211+AK214,0)))</f>
        <v>40</v>
      </c>
      <c r="AL215" s="1738">
        <f>IF(AND($Y211="V",$Y214="F"),AL211,IF(AND($Y211="F",$Y214="V"),AL214,IF(AND($Y211="V",$Y214="V"),AL211+AL214,0)))</f>
        <v>4</v>
      </c>
      <c r="AM215" s="1738">
        <f>IF(AND($Y211="V",$Y214="F"),AM211,IF(AND($Y211="F",$Y214="V"),AM214,IF(AND($Y211="V",$Y214="V"),AM211+AM214,0)))</f>
        <v>22</v>
      </c>
      <c r="AN215" s="1738"/>
      <c r="AO215" s="1738"/>
      <c r="AY215" s="734"/>
      <c r="AZ215" s="734"/>
      <c r="BA215" s="87"/>
      <c r="BB215" s="442"/>
      <c r="BC215" s="89"/>
      <c r="BD215" s="446"/>
      <c r="BE215" s="446"/>
      <c r="BF215" s="89"/>
      <c r="BG215" s="447"/>
      <c r="BH215" s="447"/>
      <c r="BI215" s="443"/>
    </row>
    <row r="216" spans="1:78" ht="19" x14ac:dyDescent="0.2">
      <c r="B216" s="1700"/>
      <c r="C216" t="s">
        <v>238</v>
      </c>
      <c r="I216" s="122"/>
      <c r="L216" s="32"/>
      <c r="M216" s="32"/>
      <c r="N216" s="32"/>
      <c r="O216" s="1379"/>
      <c r="P216" s="122"/>
      <c r="R216" s="292"/>
      <c r="S216" s="122"/>
      <c r="U216" s="292"/>
      <c r="V216" s="32"/>
      <c r="W216" s="821"/>
      <c r="X216" s="822"/>
      <c r="Y216" s="821"/>
      <c r="Z216" s="822"/>
      <c r="AA216" s="821"/>
      <c r="AB216" s="822"/>
      <c r="AD216" s="10"/>
      <c r="AE216" s="10"/>
      <c r="AF216" s="10"/>
      <c r="AG216" s="832"/>
      <c r="AH216" s="832"/>
      <c r="AI216" s="832"/>
      <c r="AJ216" s="1490"/>
      <c r="AK216" s="1490"/>
      <c r="AL216" s="1490"/>
      <c r="AM216" s="1490"/>
      <c r="AN216" s="1490"/>
      <c r="AO216" s="1490"/>
      <c r="AY216" s="734"/>
      <c r="AZ216" s="734"/>
      <c r="BA216" s="87"/>
      <c r="BB216" s="442"/>
      <c r="BC216" s="89"/>
      <c r="BD216" s="446"/>
      <c r="BE216" s="446"/>
      <c r="BF216" s="89"/>
      <c r="BG216" s="447"/>
      <c r="BH216" s="447"/>
      <c r="BI216" s="443"/>
    </row>
    <row r="217" spans="1:78" ht="34" x14ac:dyDescent="0.2">
      <c r="A217" t="str">
        <f>IF(Test_Bible!B134="","F","O")</f>
        <v>O</v>
      </c>
      <c r="B217" s="1700" t="str">
        <f>'Cpts AR +indép + Sommaire'!Y31</f>
        <v>Dénigrement</v>
      </c>
      <c r="C217" s="825" t="str">
        <f>'Cpts AR +indép + Sommaire'!U31</f>
        <v>PCR07</v>
      </c>
      <c r="D217" s="826" t="str">
        <f>'Cpts AR +indép + Sommaire'!V31</f>
        <v>Il vous arrive de faire des reproches à l'autre parent devant votre enfant.</v>
      </c>
      <c r="E217" s="826"/>
      <c r="F217" s="830">
        <f>'Cpts AR +indép + Sommaire'!W31</f>
        <v>2</v>
      </c>
      <c r="G217" s="830">
        <f>'Cpts AR +indép + Sommaire'!X31</f>
        <v>1</v>
      </c>
      <c r="H217" s="830">
        <f>F217*G217</f>
        <v>2</v>
      </c>
      <c r="I217" s="1350">
        <v>4</v>
      </c>
      <c r="J217" s="1343">
        <v>10</v>
      </c>
      <c r="K217" s="31" t="b">
        <f>IF(AND(F217&gt;=I217,F217&lt;=J217),TRUE,FALSE)</f>
        <v>0</v>
      </c>
      <c r="L217" s="26"/>
      <c r="M217" s="26"/>
      <c r="N217" s="26"/>
      <c r="O217" s="1360"/>
      <c r="P217" s="1374">
        <v>11</v>
      </c>
      <c r="Q217" s="1375">
        <v>11</v>
      </c>
      <c r="R217" s="1351" t="b">
        <f>IF(AND(F217&gt;=P217,F217&lt;=Q217),TRUE,FALSE)</f>
        <v>0</v>
      </c>
      <c r="S217" s="1350">
        <v>2</v>
      </c>
      <c r="T217" s="1343">
        <v>10</v>
      </c>
      <c r="U217" s="1351" t="b">
        <f>IF(AND(F217&gt;=S217,F217&lt;=T217),TRUE,FALSE)</f>
        <v>1</v>
      </c>
      <c r="V217" s="32"/>
      <c r="W217" s="821"/>
      <c r="X217" s="822"/>
      <c r="Y217" s="821"/>
      <c r="Z217" s="822"/>
      <c r="AA217" s="821"/>
      <c r="AB217" s="822"/>
      <c r="AD217" s="10"/>
      <c r="AE217" s="10"/>
      <c r="AF217" s="10"/>
      <c r="AG217" s="832">
        <f>IF($K217=TRUE,H217,0)</f>
        <v>0</v>
      </c>
      <c r="AH217" s="832">
        <f>IF($R217=TRUE,H217,0)</f>
        <v>0</v>
      </c>
      <c r="AI217" s="832">
        <f>IF($U217=TRUE,H217,0)</f>
        <v>2</v>
      </c>
      <c r="AJ217" s="1490">
        <f t="shared" ref="AJ217:AJ218" si="391">IF(OR(I217=11,A217="F"),0,G217*I217)</f>
        <v>4</v>
      </c>
      <c r="AK217" s="1490">
        <f t="shared" ref="AK217:AK218" si="392">IF(OR(J217=11,A217="F"),0,G217*J217)</f>
        <v>10</v>
      </c>
      <c r="AL217" s="1490">
        <f t="shared" ref="AL217:AL218" si="393">IF(OR(P217=11,A217="F"),0,G217*P217)</f>
        <v>0</v>
      </c>
      <c r="AM217" s="1490">
        <f t="shared" ref="AM217:AM218" si="394">IF(OR(Q217=11,A217="F"),0,G217*Q217)</f>
        <v>0</v>
      </c>
      <c r="AN217" s="1490">
        <f t="shared" ref="AN217:AN218" si="395">IF(OR(S217=11,A217="F"),0,S217*G217)</f>
        <v>2</v>
      </c>
      <c r="AO217" s="1490">
        <f t="shared" ref="AO217:AO218" si="396">IF(OR(T217=11,A217="F"),0,T217*G217)</f>
        <v>10</v>
      </c>
      <c r="AY217" s="734"/>
      <c r="AZ217" s="734"/>
      <c r="BA217" s="87"/>
      <c r="BB217" s="442"/>
      <c r="BC217" s="89"/>
      <c r="BD217" s="446"/>
      <c r="BE217" s="446"/>
      <c r="BF217" s="89"/>
      <c r="BG217" s="447"/>
      <c r="BH217" s="447"/>
      <c r="BI217" s="443"/>
    </row>
    <row r="218" spans="1:78" ht="20" thickBot="1" x14ac:dyDescent="0.25">
      <c r="B218" s="1700"/>
      <c r="C218" s="825"/>
      <c r="D218" s="829"/>
      <c r="E218" s="826"/>
      <c r="F218" s="830"/>
      <c r="G218" s="830"/>
      <c r="H218" s="830">
        <f>F218*G218</f>
        <v>0</v>
      </c>
      <c r="I218" s="1374">
        <v>11</v>
      </c>
      <c r="J218" s="1375">
        <v>11</v>
      </c>
      <c r="K218" s="31" t="b">
        <f>IF(AND(F218&gt;=I218,F218&lt;=J218),TRUE,FALSE)</f>
        <v>0</v>
      </c>
      <c r="L218" s="26"/>
      <c r="M218" s="26"/>
      <c r="N218" s="26"/>
      <c r="O218" s="1360"/>
      <c r="P218" s="1374">
        <v>11</v>
      </c>
      <c r="Q218" s="1375">
        <v>11</v>
      </c>
      <c r="R218" s="1351" t="b">
        <f>IF(AND(F218&gt;=P218,F218&lt;=Q218),TRUE,FALSE)</f>
        <v>0</v>
      </c>
      <c r="S218" s="1374">
        <v>11</v>
      </c>
      <c r="T218" s="1375">
        <v>11</v>
      </c>
      <c r="U218" s="1351" t="b">
        <f>IF(AND(F218&gt;=S218,F218&lt;=T218),TRUE,FALSE)</f>
        <v>0</v>
      </c>
      <c r="W218" s="821"/>
      <c r="X218" s="822"/>
      <c r="Y218" s="821"/>
      <c r="Z218" s="822"/>
      <c r="AA218" s="821"/>
      <c r="AB218" s="822"/>
      <c r="AD218" s="10"/>
      <c r="AE218" s="10"/>
      <c r="AF218" s="10"/>
      <c r="AG218" s="832">
        <f>IF($K218=TRUE,H218,0)</f>
        <v>0</v>
      </c>
      <c r="AH218" s="832">
        <f>IF($R218=TRUE,H218,0)</f>
        <v>0</v>
      </c>
      <c r="AI218" s="832">
        <f>IF($U218=TRUE,H218,0)</f>
        <v>0</v>
      </c>
      <c r="AJ218" s="1490">
        <f t="shared" si="391"/>
        <v>0</v>
      </c>
      <c r="AK218" s="1490">
        <f t="shared" si="392"/>
        <v>0</v>
      </c>
      <c r="AL218" s="1490">
        <f t="shared" si="393"/>
        <v>0</v>
      </c>
      <c r="AM218" s="1490">
        <f t="shared" si="394"/>
        <v>0</v>
      </c>
      <c r="AN218" s="1490">
        <f t="shared" si="395"/>
        <v>0</v>
      </c>
      <c r="AO218" s="1490">
        <f t="shared" si="396"/>
        <v>0</v>
      </c>
      <c r="AY218" s="734"/>
      <c r="AZ218" s="734"/>
      <c r="BA218" s="87"/>
      <c r="BB218" s="442"/>
      <c r="BC218" s="89"/>
      <c r="BD218" s="446"/>
      <c r="BE218" s="446"/>
      <c r="BF218" s="89"/>
      <c r="BG218" s="447"/>
      <c r="BH218" s="447"/>
      <c r="BI218" s="443"/>
    </row>
    <row r="219" spans="1:78" ht="27" thickBot="1" x14ac:dyDescent="0.35">
      <c r="D219" s="16"/>
      <c r="E219" s="16"/>
      <c r="F219" s="67"/>
      <c r="G219" s="438"/>
      <c r="H219" s="33">
        <f>IF(AND(K217=TRUE,K218=FALSE),H217,IF(AND(K217=FALSE,K218=TRUE),H218,MAX(H217,H218)))</f>
        <v>2</v>
      </c>
      <c r="I219" s="1371"/>
      <c r="J219" s="1372"/>
      <c r="K219" s="1378" t="b">
        <f>IF(AND(K217=FALSE,K218=FALSE),FALSE,TRUE)</f>
        <v>0</v>
      </c>
      <c r="L219" s="1361"/>
      <c r="M219" s="1362"/>
      <c r="N219" s="1362"/>
      <c r="O219" s="1363"/>
      <c r="P219" s="1371"/>
      <c r="Q219" s="1372"/>
      <c r="R219" s="1378" t="b">
        <f>IF(AND(R217=FALSE,R218=FALSE),FALSE,TRUE)</f>
        <v>0</v>
      </c>
      <c r="S219" s="1383"/>
      <c r="T219" s="1384"/>
      <c r="U219" s="1385" t="b">
        <f>IF(AND(U217=FALSE,U218=FALSE),FALSE,TRUE)</f>
        <v>1</v>
      </c>
      <c r="V219" s="809"/>
      <c r="W219" s="1315" t="str">
        <f>IF(K219=TRUE,"V","F")</f>
        <v>F</v>
      </c>
      <c r="X219" s="1316"/>
      <c r="Y219" s="1315" t="str">
        <f>IF(R219=TRUE,"V","F")</f>
        <v>F</v>
      </c>
      <c r="Z219" s="1316"/>
      <c r="AA219" s="1315" t="str">
        <f>IF(U219=TRUE,"V","F")</f>
        <v>V</v>
      </c>
      <c r="AB219" s="1316"/>
      <c r="AD219" s="10"/>
      <c r="AE219" s="10"/>
      <c r="AF219" s="10"/>
      <c r="AG219" s="1742">
        <f>IF(AND($K217=TRUE,$K218=FALSE),AG217,IF(AND($K217=FALSE,$K218=TRUE),AG218,MAX(AG217,AG218)))</f>
        <v>0</v>
      </c>
      <c r="AH219" s="1742">
        <f>IF(AND($R217=TRUE,$R218=FALSE),AH217,IF(AND($R217=FALSE,$R218=TRUE),AH218,MAX(AH217,AH218)))</f>
        <v>0</v>
      </c>
      <c r="AI219" s="1742">
        <f>IF(AND($U217=TRUE,$U218=FALSE),AI217,IF(AND($U217=FALSE,$U218=TRUE),AI218,MAX(AI217,AI218)))</f>
        <v>2</v>
      </c>
      <c r="AJ219" s="1742">
        <f>IF(AND($K217=TRUE,$K218=FALSE),AJ217,IF(AND($K217=FALSE,$K218=TRUE),AJ218,MAX(AJ217,AJ218)))</f>
        <v>4</v>
      </c>
      <c r="AK219" s="1742">
        <f>IF(AND($K217=TRUE,$K218=FALSE),AK217,IF(AND($K217=FALSE,$K218=TRUE),AK218,MAX(AK217,AK218)))</f>
        <v>10</v>
      </c>
      <c r="AL219" s="1742">
        <f>IF(AND($R217=TRUE,$R218=FALSE),AL217,IF(AND($R217=FALSE,$R218=TRUE),AL218,MAX(AL217,AL218)))</f>
        <v>0</v>
      </c>
      <c r="AM219" s="1742">
        <f>IF(AND($R217=TRUE,$R218=FALSE),AM217,IF(AND($R217=FALSE,$R218=TRUE),AM218,MAX(AM217,AM218)))</f>
        <v>0</v>
      </c>
      <c r="AN219" s="1742">
        <f>IF(AND($U217=TRUE,$U218=FALSE),AN217,IF(AND($U217=FALSE,$U218=TRUE),AN218,MAX(AN217,AN218)))</f>
        <v>2</v>
      </c>
      <c r="AO219" s="1742">
        <f>IF(AND($U217=TRUE,$U218=FALSE),AO217,IF(AND($U217=FALSE,$U218=TRUE),AO218,MAX(AO217,AO218)))</f>
        <v>10</v>
      </c>
      <c r="AY219" s="734"/>
      <c r="AZ219" s="734"/>
      <c r="BA219" s="87"/>
      <c r="BB219" s="442"/>
      <c r="BC219" s="89"/>
      <c r="BD219" s="446"/>
      <c r="BE219" s="446"/>
      <c r="BF219" s="89"/>
      <c r="BG219" s="447"/>
      <c r="BH219" s="447"/>
      <c r="BI219" s="443"/>
    </row>
    <row r="220" spans="1:78" ht="27" thickBot="1" x14ac:dyDescent="0.35">
      <c r="D220" s="16"/>
      <c r="E220" s="16"/>
      <c r="F220" s="67"/>
      <c r="G220" s="438"/>
      <c r="H220" s="438"/>
      <c r="I220" s="8"/>
      <c r="J220" s="8"/>
      <c r="K220" s="808"/>
      <c r="L220" s="809"/>
      <c r="M220" s="809"/>
      <c r="N220" s="809"/>
      <c r="O220" s="809"/>
      <c r="P220" s="809"/>
      <c r="Q220" s="809"/>
      <c r="R220" s="809"/>
      <c r="S220" s="809"/>
      <c r="T220" s="809"/>
      <c r="U220" s="809"/>
      <c r="V220" s="809"/>
      <c r="W220" s="1376"/>
      <c r="X220" s="1377">
        <f>IF(AND(W219="V",W211="V"),X215-1,X215)</f>
        <v>1</v>
      </c>
      <c r="Y220" s="1376"/>
      <c r="Z220" s="1377">
        <f>IF(OR(Y211="V",Y214="V",Y219="V"),1,0)</f>
        <v>1</v>
      </c>
      <c r="AA220" s="1376"/>
      <c r="AB220" s="1377">
        <f>IF(AA211="V",1,IF(AA219="V",1,0))</f>
        <v>1</v>
      </c>
      <c r="AD220" s="10">
        <f>X220</f>
        <v>1</v>
      </c>
      <c r="AE220" s="10">
        <f>Z220</f>
        <v>1</v>
      </c>
      <c r="AF220" s="10">
        <f>AB220</f>
        <v>1</v>
      </c>
      <c r="AG220" s="1741">
        <f>IF($W219="F",AG215,AG215+AG219)</f>
        <v>16</v>
      </c>
      <c r="AH220" s="1741">
        <f>IF($Y219="F",AH215,AH215+AH219)</f>
        <v>7</v>
      </c>
      <c r="AI220" s="1741">
        <f>IF(AND($AA211="V",$AA219="F"),AI211,IF(AND($AA211="F",$AA219="V"),AI219,IF(AND($AA211="V",$AA219="V"),AI211+AI219,0)))</f>
        <v>18</v>
      </c>
      <c r="AJ220" s="1741">
        <f>IF($W219="F",AJ215,AJ215+AJ219)</f>
        <v>16</v>
      </c>
      <c r="AK220" s="1741">
        <f t="shared" ref="AK220" si="397">IF($W219="F",AK215,AK215+AK219)</f>
        <v>40</v>
      </c>
      <c r="AL220" s="1741">
        <f t="shared" ref="AL220" si="398">IF($Y219="F",AL215,AL215+AL219)</f>
        <v>4</v>
      </c>
      <c r="AM220" s="1741">
        <f t="shared" ref="AM220" si="399">IF($Y219="F",AM215,AM215+AM219)</f>
        <v>22</v>
      </c>
      <c r="AN220" s="1741">
        <f t="shared" ref="AN220" si="400">IF(AND($AA211="V",$AA219="F"),AN211,IF(AND($AA211="F",$AA219="V"),AN219,IF(AND($AA211="V",$AA219="V"),AN211+AN219,0)))</f>
        <v>16</v>
      </c>
      <c r="AO220" s="1741">
        <f t="shared" ref="AO220" si="401">IF(AND($AA211="V",$AA219="F"),AO211,IF(AND($AA211="F",$AA219="V"),AO219,IF(AND($AA211="V",$AA219="V"),AO211+AO219,0)))</f>
        <v>47</v>
      </c>
      <c r="AY220" s="734"/>
      <c r="AZ220" s="734"/>
      <c r="BA220" s="87"/>
      <c r="BB220" s="442"/>
      <c r="BC220" s="89"/>
      <c r="BD220" s="446"/>
      <c r="BE220" s="446"/>
      <c r="BF220" s="89"/>
      <c r="BG220" s="447"/>
      <c r="BH220" s="447"/>
      <c r="BI220" s="443"/>
    </row>
    <row r="221" spans="1:78" x14ac:dyDescent="0.3">
      <c r="D221" s="16"/>
      <c r="E221" s="16"/>
      <c r="F221" s="67"/>
      <c r="G221" s="438"/>
      <c r="H221" s="438"/>
      <c r="I221" s="1344"/>
      <c r="J221" s="1345"/>
      <c r="K221" s="1346"/>
      <c r="L221" s="2603"/>
      <c r="M221" s="2603"/>
      <c r="N221" s="2603"/>
      <c r="O221" s="1347"/>
      <c r="P221" s="1364"/>
      <c r="Q221" s="1346"/>
      <c r="R221" s="1347"/>
      <c r="S221" s="1364"/>
      <c r="T221" s="1346"/>
      <c r="U221" s="1347"/>
      <c r="V221" s="145"/>
      <c r="W221" s="1387"/>
      <c r="X221" s="1388"/>
      <c r="Y221" s="1231"/>
      <c r="Z221" s="1231"/>
      <c r="AA221" s="1231"/>
      <c r="AB221" s="1231"/>
      <c r="AD221" s="10"/>
      <c r="AE221" s="10"/>
      <c r="AF221" s="10"/>
      <c r="AY221" s="734"/>
      <c r="AZ221" s="734"/>
      <c r="BA221" s="87"/>
      <c r="BB221" s="442"/>
      <c r="BC221" s="89"/>
      <c r="BD221" s="446"/>
      <c r="BE221" s="446"/>
      <c r="BF221" s="89"/>
      <c r="BG221" s="447"/>
      <c r="BH221" s="447"/>
      <c r="BI221" s="443"/>
    </row>
    <row r="222" spans="1:78" x14ac:dyDescent="0.3">
      <c r="B222" s="1699">
        <v>10</v>
      </c>
      <c r="D222" s="441" t="str">
        <f>'Cpts AR +indép + Sommaire'!B34</f>
        <v>Dénigre la nouvelle famille</v>
      </c>
      <c r="E222" s="84"/>
      <c r="F222" s="50"/>
      <c r="G222" s="18"/>
      <c r="H222" s="18"/>
      <c r="I222" s="2595" t="s">
        <v>604</v>
      </c>
      <c r="J222" s="2596"/>
      <c r="K222" s="2596"/>
      <c r="L222" s="2597" t="s">
        <v>1086</v>
      </c>
      <c r="M222" s="2597"/>
      <c r="N222" s="2597"/>
      <c r="O222" s="2598"/>
      <c r="P222" s="2599" t="s">
        <v>603</v>
      </c>
      <c r="Q222" s="2600"/>
      <c r="R222" s="2601"/>
      <c r="S222" s="2590" t="s">
        <v>605</v>
      </c>
      <c r="T222" s="2591"/>
      <c r="U222" s="2592"/>
      <c r="V222" s="15"/>
      <c r="W222" s="817"/>
      <c r="X222" s="817"/>
      <c r="Y222" s="817"/>
      <c r="Z222" s="817"/>
      <c r="AA222" s="817"/>
      <c r="AB222" s="818"/>
      <c r="AD222" s="10"/>
      <c r="AE222" s="10"/>
      <c r="AF222" s="10"/>
      <c r="AG222" s="1386" t="s">
        <v>604</v>
      </c>
      <c r="AH222" s="1386" t="s">
        <v>603</v>
      </c>
      <c r="AI222" s="1386" t="s">
        <v>605</v>
      </c>
      <c r="AJ222" s="2589" t="s">
        <v>604</v>
      </c>
      <c r="AK222" s="2589"/>
      <c r="AL222" s="2589" t="s">
        <v>603</v>
      </c>
      <c r="AM222" s="2589"/>
      <c r="AN222" s="2589" t="s">
        <v>605</v>
      </c>
      <c r="AO222" s="2589"/>
      <c r="AY222" s="734"/>
      <c r="AZ222" s="734"/>
      <c r="BA222" s="87"/>
      <c r="BB222" s="442"/>
      <c r="BC222" s="89"/>
      <c r="BD222" s="446"/>
      <c r="BE222" s="446"/>
      <c r="BF222" s="89"/>
      <c r="BG222" s="447"/>
      <c r="BH222" s="447"/>
      <c r="BI222" s="443"/>
    </row>
    <row r="223" spans="1:78" ht="34" x14ac:dyDescent="0.2">
      <c r="B223" s="1700"/>
      <c r="D223" s="79" t="s">
        <v>779</v>
      </c>
      <c r="E223" s="835" t="s">
        <v>778</v>
      </c>
      <c r="F223" s="26" t="s">
        <v>226</v>
      </c>
      <c r="G223" s="26" t="s">
        <v>22</v>
      </c>
      <c r="H223" s="26" t="s">
        <v>612</v>
      </c>
      <c r="I223" s="1348" t="s">
        <v>269</v>
      </c>
      <c r="J223" s="29" t="s">
        <v>270</v>
      </c>
      <c r="K223" s="29" t="s">
        <v>271</v>
      </c>
      <c r="L223" s="29" t="s">
        <v>363</v>
      </c>
      <c r="M223" s="29" t="s">
        <v>339</v>
      </c>
      <c r="N223" s="29" t="s">
        <v>340</v>
      </c>
      <c r="O223" s="1349" t="s">
        <v>341</v>
      </c>
      <c r="P223" s="1348" t="s">
        <v>269</v>
      </c>
      <c r="Q223" s="29" t="s">
        <v>270</v>
      </c>
      <c r="R223" s="1349" t="s">
        <v>271</v>
      </c>
      <c r="S223" s="1348" t="s">
        <v>269</v>
      </c>
      <c r="T223" s="29" t="s">
        <v>270</v>
      </c>
      <c r="U223" s="1349" t="s">
        <v>271</v>
      </c>
      <c r="V223" s="736"/>
      <c r="W223" s="827" t="s">
        <v>604</v>
      </c>
      <c r="X223" s="828" t="s">
        <v>754</v>
      </c>
      <c r="Y223" s="827" t="s">
        <v>603</v>
      </c>
      <c r="Z223" s="828" t="s">
        <v>755</v>
      </c>
      <c r="AA223" s="827" t="s">
        <v>605</v>
      </c>
      <c r="AB223" s="828" t="s">
        <v>756</v>
      </c>
      <c r="AD223" s="10"/>
      <c r="AE223" s="10"/>
      <c r="AF223" s="10"/>
      <c r="AG223" s="10"/>
      <c r="AH223" s="10"/>
      <c r="AI223" s="10"/>
      <c r="AJ223" s="1490" t="s">
        <v>1058</v>
      </c>
      <c r="AK223" s="1490" t="s">
        <v>1059</v>
      </c>
      <c r="AL223" s="1490" t="s">
        <v>1058</v>
      </c>
      <c r="AM223" s="1490" t="s">
        <v>1059</v>
      </c>
      <c r="AN223" s="1490" t="s">
        <v>1058</v>
      </c>
      <c r="AO223" s="1490" t="s">
        <v>1059</v>
      </c>
      <c r="AY223" s="734"/>
      <c r="AZ223" s="734"/>
      <c r="BA223" s="87"/>
      <c r="BB223" s="442"/>
      <c r="BC223" s="89"/>
      <c r="BD223" s="446"/>
      <c r="BE223" s="446"/>
      <c r="BF223" s="89"/>
      <c r="BG223" s="447"/>
      <c r="BH223" s="447"/>
      <c r="BI223" s="443"/>
    </row>
    <row r="224" spans="1:78" ht="51" x14ac:dyDescent="0.2">
      <c r="A224" t="str">
        <f>IF(Test_Bible!B190="","F","O")</f>
        <v>F</v>
      </c>
      <c r="B224" s="1531" t="str">
        <f>'Cpts AR +indép + Sommaire'!G34</f>
        <v>Dénigrement</v>
      </c>
      <c r="C224" s="379" t="str">
        <f>'Cpts AR +indép + Sommaire'!C34</f>
        <v>PFA14</v>
      </c>
      <c r="D224" s="25" t="str">
        <f>'Cpts AR +indép + Sommaire'!D34</f>
        <v>L’autre parent dénigre votre nouvelle famille devant votre enfant. (dénigrement de votre nouveau ou nouvelle conjoint·e ou enfant né·e d’une nouvelle union)</v>
      </c>
      <c r="E224" s="78" t="s">
        <v>631</v>
      </c>
      <c r="F224" s="709">
        <f>'Cpts AR +indép + Sommaire'!E34</f>
        <v>0</v>
      </c>
      <c r="G224" s="709">
        <f>'Cpts AR +indép + Sommaire'!F34</f>
        <v>1</v>
      </c>
      <c r="H224" s="709">
        <f>F224*G224</f>
        <v>0</v>
      </c>
      <c r="I224" s="1350">
        <v>4</v>
      </c>
      <c r="J224" s="1343">
        <v>10</v>
      </c>
      <c r="K224" s="31" t="b">
        <f>IF(AND(F224&gt;=I224,F224&lt;=J224),TRUE,FALSE)</f>
        <v>0</v>
      </c>
      <c r="L224" s="31"/>
      <c r="M224" s="31"/>
      <c r="N224" s="31"/>
      <c r="O224" s="1351"/>
      <c r="P224" s="1350">
        <v>1</v>
      </c>
      <c r="Q224" s="1343">
        <v>7</v>
      </c>
      <c r="R224" s="1351" t="b">
        <f>IF(AND(F224&gt;=P224,F224&lt;=Q224),TRUE,FALSE)</f>
        <v>0</v>
      </c>
      <c r="S224" s="1350">
        <v>2</v>
      </c>
      <c r="T224" s="1343">
        <v>7</v>
      </c>
      <c r="U224" s="1351" t="b">
        <f>IF(AND(F224&gt;=S224,F224&lt;=T224),TRUE,FALSE)</f>
        <v>0</v>
      </c>
      <c r="V224" s="807"/>
      <c r="W224" s="819"/>
      <c r="X224" s="820"/>
      <c r="Y224" s="819"/>
      <c r="Z224" s="820"/>
      <c r="AA224" s="819"/>
      <c r="AB224" s="820"/>
      <c r="AD224" s="10"/>
      <c r="AE224" s="10"/>
      <c r="AF224" s="10"/>
      <c r="AG224" s="832">
        <f>IF($K224=TRUE,H224,0)</f>
        <v>0</v>
      </c>
      <c r="AH224" s="832">
        <f>IF($R224=TRUE,H224,0)</f>
        <v>0</v>
      </c>
      <c r="AI224" s="832">
        <f>IF($U224=TRUE,H224,0)</f>
        <v>0</v>
      </c>
      <c r="AJ224" s="1490">
        <f t="shared" ref="AJ224:AJ225" si="402">IF(OR(I224=11,A224="F"),0,G224*I224)</f>
        <v>0</v>
      </c>
      <c r="AK224" s="1490">
        <f t="shared" ref="AK224:AK225" si="403">IF(OR(J224=11,A224="F"),0,G224*J224)</f>
        <v>0</v>
      </c>
      <c r="AL224" s="1490">
        <f t="shared" ref="AL224:AL225" si="404">IF(OR(P224=11,A224="F"),0,G224*P224)</f>
        <v>0</v>
      </c>
      <c r="AM224" s="1490">
        <f t="shared" ref="AM224:AM225" si="405">IF(OR(Q224=11,A224="F"),0,G224*Q224)</f>
        <v>0</v>
      </c>
      <c r="AN224" s="1490">
        <f t="shared" ref="AN224:AN225" si="406">IF(OR(S224=11,A224="F"),0,S224*G224)</f>
        <v>0</v>
      </c>
      <c r="AO224" s="1490">
        <f t="shared" ref="AO224:AO225" si="407">IF(OR(T224=11,A224="F"),0,T224*G224)</f>
        <v>0</v>
      </c>
      <c r="AY224" s="734"/>
      <c r="AZ224" s="734"/>
      <c r="BA224" s="87"/>
      <c r="BB224" s="442"/>
      <c r="BC224" s="89"/>
      <c r="BD224" s="446"/>
      <c r="BE224" s="446"/>
      <c r="BF224" s="89"/>
      <c r="BG224" s="447"/>
      <c r="BH224" s="447"/>
      <c r="BI224" s="443"/>
    </row>
    <row r="225" spans="1:78" ht="34" x14ac:dyDescent="0.2">
      <c r="A225" t="str">
        <f>IF(Test_Bible!B247="","F","O")</f>
        <v>F</v>
      </c>
      <c r="B225" s="1531" t="str">
        <f>'Cpts AR +indép + Sommaire'!G35</f>
        <v>Rôle actif de l'enfant</v>
      </c>
      <c r="C225" s="379" t="str">
        <f>'Cpts AR +indép + Sommaire'!C35</f>
        <v>PFA33</v>
      </c>
      <c r="D225" s="25" t="str">
        <f>'Cpts AR +indép + Sommaire'!D35</f>
        <v>L'autre parent encourage ou entretient un discours dénigrant ou haineux à l’égard de votre nouveau ou nouvelle conjoint·e.</v>
      </c>
      <c r="E225" s="78" t="s">
        <v>632</v>
      </c>
      <c r="F225" s="709">
        <f>'Cpts AR +indép + Sommaire'!E35</f>
        <v>0</v>
      </c>
      <c r="G225" s="709">
        <f>'Cpts AR +indép + Sommaire'!F35</f>
        <v>2</v>
      </c>
      <c r="H225" s="709">
        <f>F225*G225</f>
        <v>0</v>
      </c>
      <c r="I225" s="1350">
        <v>4</v>
      </c>
      <c r="J225" s="1343">
        <v>10</v>
      </c>
      <c r="K225" s="31" t="b">
        <f>IF(AND(F225&gt;=I225,F225&lt;=J225),TRUE,FALSE)</f>
        <v>0</v>
      </c>
      <c r="L225" s="31"/>
      <c r="M225" s="31"/>
      <c r="N225" s="31"/>
      <c r="O225" s="1351"/>
      <c r="P225" s="1350">
        <v>1</v>
      </c>
      <c r="Q225" s="1343">
        <v>7</v>
      </c>
      <c r="R225" s="1351" t="b">
        <f>IF(AND(F225&gt;=P225,F225&lt;=Q225),TRUE,FALSE)</f>
        <v>0</v>
      </c>
      <c r="S225" s="1350">
        <v>2</v>
      </c>
      <c r="T225" s="1343">
        <v>7</v>
      </c>
      <c r="U225" s="1351" t="b">
        <f>IF(AND(F225&gt;=S225,F225&lt;=T225),TRUE,FALSE)</f>
        <v>0</v>
      </c>
      <c r="V225" s="807"/>
      <c r="W225" s="821"/>
      <c r="X225" s="822"/>
      <c r="Y225" s="821"/>
      <c r="Z225" s="822"/>
      <c r="AA225" s="821"/>
      <c r="AB225" s="822"/>
      <c r="AD225" s="10"/>
      <c r="AE225" s="10"/>
      <c r="AF225" s="10"/>
      <c r="AG225" s="832">
        <f>IF($K225=TRUE,H225,0)</f>
        <v>0</v>
      </c>
      <c r="AH225" s="832">
        <f>IF($R225=TRUE,H225,0)</f>
        <v>0</v>
      </c>
      <c r="AI225" s="832">
        <f>IF($U225=TRUE,H225,0)</f>
        <v>0</v>
      </c>
      <c r="AJ225" s="1490">
        <f t="shared" si="402"/>
        <v>0</v>
      </c>
      <c r="AK225" s="1490">
        <f t="shared" si="403"/>
        <v>0</v>
      </c>
      <c r="AL225" s="1490">
        <f t="shared" si="404"/>
        <v>0</v>
      </c>
      <c r="AM225" s="1490">
        <f t="shared" si="405"/>
        <v>0</v>
      </c>
      <c r="AN225" s="1490">
        <f t="shared" si="406"/>
        <v>0</v>
      </c>
      <c r="AO225" s="1490">
        <f t="shared" si="407"/>
        <v>0</v>
      </c>
      <c r="AY225" s="734"/>
      <c r="AZ225" s="734"/>
      <c r="BA225" s="87"/>
      <c r="BB225" s="442"/>
      <c r="BC225" s="89"/>
      <c r="BD225" s="446"/>
      <c r="BE225" s="446"/>
      <c r="BF225" s="89"/>
      <c r="BG225" s="447"/>
      <c r="BH225" s="447"/>
      <c r="BI225" s="443"/>
    </row>
    <row r="226" spans="1:78" ht="51" x14ac:dyDescent="0.2">
      <c r="B226" s="1531"/>
      <c r="C226" s="710" t="s">
        <v>609</v>
      </c>
      <c r="D226" s="711" t="str">
        <f>_xlfn.XLOOKUP(H226,H224:H225,D224:D225)</f>
        <v>L’autre parent dénigre votre nouvelle famille devant votre enfant. (dénigrement de votre nouveau ou nouvelle conjoint·e ou enfant né·e d’une nouvelle union)</v>
      </c>
      <c r="E226" s="712" t="str">
        <f>_xlfn.XLOOKUP(H226,H224:H225,E224:E225)</f>
        <v>dénigre votre nouvelle famille devant l'enfant</v>
      </c>
      <c r="F226" s="713"/>
      <c r="G226" s="713"/>
      <c r="H226" s="713">
        <f>IF(AND(K224=TRUE,K225=FALSE),H224,IF(AND(K224=FALSE,K225=TRUE),H225,MAX(H224,H225)))</f>
        <v>0</v>
      </c>
      <c r="I226" s="1352"/>
      <c r="J226" s="714"/>
      <c r="K226" s="715" t="b">
        <f>IF(AND(K224=FALSE,K225=FALSE),FALSE,TRUE)</f>
        <v>0</v>
      </c>
      <c r="L226" s="31"/>
      <c r="M226" s="31"/>
      <c r="N226" s="31"/>
      <c r="O226" s="1351"/>
      <c r="P226" s="1352"/>
      <c r="Q226" s="714"/>
      <c r="R226" s="1365" t="b">
        <f>IF(AND(R224=FALSE,R225=FALSE),FALSE,TRUE)</f>
        <v>0</v>
      </c>
      <c r="S226" s="1352"/>
      <c r="T226" s="714"/>
      <c r="U226" s="1365" t="b">
        <f>IF(AND(U224=FALSE,U225=FALSE),FALSE,TRUE)</f>
        <v>0</v>
      </c>
      <c r="V226" s="807"/>
      <c r="W226" s="821"/>
      <c r="X226" s="822"/>
      <c r="Y226" s="821"/>
      <c r="Z226" s="822"/>
      <c r="AA226" s="821"/>
      <c r="AB226" s="822"/>
      <c r="AD226" s="10"/>
      <c r="AE226" s="10"/>
      <c r="AF226" s="10"/>
      <c r="AG226" s="1740">
        <f>IF($K226=TRUE,MAX(AG224:AG225),0)</f>
        <v>0</v>
      </c>
      <c r="AH226" s="1740">
        <f>IF($R226=TRUE,MAX(AH224:AH225),0)</f>
        <v>0</v>
      </c>
      <c r="AI226" s="1740">
        <f>IF($U226=TRUE,MAX(AI224:AI225),0)</f>
        <v>0</v>
      </c>
      <c r="AJ226" s="1739">
        <f>MAX(AJ224:AJ225)</f>
        <v>0</v>
      </c>
      <c r="AK226" s="1739">
        <f t="shared" ref="AK226" si="408">MAX(AK224:AK225)</f>
        <v>0</v>
      </c>
      <c r="AL226" s="1739">
        <f t="shared" ref="AL226" si="409">MAX(AL224:AL225)</f>
        <v>0</v>
      </c>
      <c r="AM226" s="1739">
        <f t="shared" ref="AM226" si="410">MAX(AM224:AM225)</f>
        <v>0</v>
      </c>
      <c r="AN226" s="1739">
        <f t="shared" ref="AN226" si="411">MAX(AN224:AN225)</f>
        <v>0</v>
      </c>
      <c r="AO226" s="1739">
        <f t="shared" ref="AO226" si="412">MAX(AO224:AO225)</f>
        <v>0</v>
      </c>
      <c r="AY226" s="734"/>
      <c r="AZ226" s="734"/>
      <c r="BA226" s="87"/>
      <c r="BB226" s="442"/>
      <c r="BC226" s="89"/>
      <c r="BD226" s="446"/>
      <c r="BE226" s="446"/>
      <c r="BF226" s="89"/>
      <c r="BG226" s="447"/>
      <c r="BH226" s="447"/>
      <c r="BI226" s="443"/>
    </row>
    <row r="227" spans="1:78" ht="51" x14ac:dyDescent="0.2">
      <c r="A227" t="str">
        <f>IF(Test_Bible!B416="","F","O")</f>
        <v>F</v>
      </c>
      <c r="B227" s="1700" t="str">
        <f>'Cpts AR +indép + Sommaire'!M34</f>
        <v>Dénigrement</v>
      </c>
      <c r="C227" s="38" t="str">
        <f>'Cpts AR +indép + Sommaire'!I34</f>
        <v>NC04b</v>
      </c>
      <c r="D227" s="25" t="str">
        <f>'Cpts AR +indép + Sommaire'!J34</f>
        <v xml:space="preserve">Arrive-t-il que le nouveau ou nouvelle conjoint·e dénigre votre famille devant votre enfant ? </v>
      </c>
      <c r="E227" s="78" t="s">
        <v>655</v>
      </c>
      <c r="F227" s="709">
        <f>'Cpts AR +indép + Sommaire'!K34</f>
        <v>0</v>
      </c>
      <c r="G227" s="708">
        <f>'Cpts AR +indép + Sommaire'!L34</f>
        <v>3</v>
      </c>
      <c r="H227" s="709">
        <f>F227*G227</f>
        <v>0</v>
      </c>
      <c r="I227" s="1350">
        <v>4</v>
      </c>
      <c r="J227" s="1343">
        <v>10</v>
      </c>
      <c r="K227" s="31" t="b">
        <f>IF(AND(F227&gt;=I227,F227&lt;=J227),TRUE,FALSE)</f>
        <v>0</v>
      </c>
      <c r="L227" s="31"/>
      <c r="M227" s="31"/>
      <c r="N227" s="31"/>
      <c r="O227" s="1351"/>
      <c r="P227" s="1350">
        <v>2</v>
      </c>
      <c r="Q227" s="1343">
        <v>10</v>
      </c>
      <c r="R227" s="1351" t="b">
        <f>IF(AND(F227&gt;=P227,F227&lt;=Q227),TRUE,FALSE)</f>
        <v>0</v>
      </c>
      <c r="S227" s="1350">
        <v>4</v>
      </c>
      <c r="T227" s="1343">
        <v>10</v>
      </c>
      <c r="U227" s="1351" t="b">
        <f>IF(AND(F227&gt;=S227,F227&lt;=T227),TRUE,FALSE)</f>
        <v>0</v>
      </c>
      <c r="V227" s="807"/>
      <c r="W227" s="821"/>
      <c r="X227" s="822"/>
      <c r="Y227" s="821"/>
      <c r="Z227" s="822"/>
      <c r="AA227" s="821"/>
      <c r="AB227" s="822"/>
      <c r="AD227" s="10"/>
      <c r="AE227" s="10"/>
      <c r="AF227" s="10"/>
      <c r="AG227" s="832">
        <f>IF(K227=TRUE,H227,0)</f>
        <v>0</v>
      </c>
      <c r="AH227" s="832">
        <f>IF(R227=TRUE,H227,0)</f>
        <v>0</v>
      </c>
      <c r="AI227" s="832">
        <f>IF(U227=TRUE,H227,0)</f>
        <v>0</v>
      </c>
      <c r="AJ227" s="1490">
        <f t="shared" ref="AJ227:AJ228" si="413">IF(OR(I227=11,A227="F"),0,G227*I227)</f>
        <v>0</v>
      </c>
      <c r="AK227" s="1490">
        <f t="shared" ref="AK227:AK228" si="414">IF(OR(J227=11,A227="F"),0,G227*J227)</f>
        <v>0</v>
      </c>
      <c r="AL227" s="1490">
        <f t="shared" ref="AL227:AL228" si="415">IF(OR(P227=11,A227="F"),0,G227*P227)</f>
        <v>0</v>
      </c>
      <c r="AM227" s="1490">
        <f t="shared" ref="AM227:AM228" si="416">IF(OR(Q227=11,A227="F"),0,G227*Q227)</f>
        <v>0</v>
      </c>
      <c r="AN227" s="1490">
        <f t="shared" ref="AN227:AN228" si="417">IF(OR(S227=11,A227="F"),0,S227*G227)</f>
        <v>0</v>
      </c>
      <c r="AO227" s="1490">
        <f t="shared" ref="AO227:AO228" si="418">IF(OR(T227=11,A227="F"),0,T227*G227)</f>
        <v>0</v>
      </c>
      <c r="AY227" s="734"/>
      <c r="AZ227" s="734"/>
      <c r="BA227" s="87"/>
      <c r="BB227" s="442"/>
      <c r="BC227" s="89"/>
      <c r="BD227" s="446"/>
      <c r="BE227" s="446"/>
      <c r="BF227" s="89"/>
      <c r="BG227" s="447"/>
      <c r="BH227" s="447"/>
      <c r="BI227" s="443"/>
    </row>
    <row r="228" spans="1:78" ht="19" x14ac:dyDescent="0.2">
      <c r="B228" s="1700"/>
      <c r="C228" s="38" t="s">
        <v>242</v>
      </c>
      <c r="D228" s="25"/>
      <c r="E228" s="48"/>
      <c r="F228" s="27"/>
      <c r="G228" s="27"/>
      <c r="H228" s="27">
        <f>F228*G228</f>
        <v>0</v>
      </c>
      <c r="I228" s="1374">
        <v>11</v>
      </c>
      <c r="J228" s="1375">
        <v>11</v>
      </c>
      <c r="K228" s="31" t="b">
        <f>IF(AND(F228&gt;=I228,F228&lt;=J228),TRUE,FALSE)</f>
        <v>0</v>
      </c>
      <c r="L228" s="31"/>
      <c r="M228" s="31"/>
      <c r="N228" s="31"/>
      <c r="O228" s="1351"/>
      <c r="P228" s="1374">
        <v>11</v>
      </c>
      <c r="Q228" s="1375">
        <v>11</v>
      </c>
      <c r="R228" s="1351" t="b">
        <f>IF(AND(F228&gt;=P228,F228&lt;=Q228),TRUE,FALSE)</f>
        <v>0</v>
      </c>
      <c r="S228" s="1374">
        <v>11</v>
      </c>
      <c r="T228" s="1375">
        <v>11</v>
      </c>
      <c r="U228" s="1351" t="b">
        <f>IF(AND(F228&gt;=S228,F228&lt;=T228),TRUE,FALSE)</f>
        <v>0</v>
      </c>
      <c r="V228" s="807"/>
      <c r="W228" s="821"/>
      <c r="X228" s="822"/>
      <c r="Y228" s="821"/>
      <c r="Z228" s="822"/>
      <c r="AA228" s="821"/>
      <c r="AB228" s="822"/>
      <c r="AD228" s="10"/>
      <c r="AE228" s="10"/>
      <c r="AF228" s="10"/>
      <c r="AG228" s="832">
        <f>IF(K228=TRUE,H228,0)</f>
        <v>0</v>
      </c>
      <c r="AH228" s="832">
        <f>IF(R228=TRUE,H228,0)</f>
        <v>0</v>
      </c>
      <c r="AI228" s="832">
        <f>IF(U228=TRUE,H228,0)</f>
        <v>0</v>
      </c>
      <c r="AJ228" s="1490">
        <f t="shared" si="413"/>
        <v>0</v>
      </c>
      <c r="AK228" s="1490">
        <f t="shared" si="414"/>
        <v>0</v>
      </c>
      <c r="AL228" s="1490">
        <f t="shared" si="415"/>
        <v>0</v>
      </c>
      <c r="AM228" s="1490">
        <f t="shared" si="416"/>
        <v>0</v>
      </c>
      <c r="AN228" s="1490">
        <f t="shared" si="417"/>
        <v>0</v>
      </c>
      <c r="AO228" s="1490">
        <f t="shared" si="418"/>
        <v>0</v>
      </c>
      <c r="AV228" s="7"/>
      <c r="AX228" s="7"/>
      <c r="AY228" s="734"/>
      <c r="AZ228" s="734"/>
      <c r="BA228" s="87"/>
      <c r="BB228" s="442"/>
      <c r="BC228" s="89"/>
      <c r="BD228" s="446"/>
      <c r="BE228" s="446"/>
      <c r="BF228" s="89"/>
      <c r="BG228" s="447"/>
      <c r="BH228" s="447"/>
      <c r="BI228" s="443"/>
      <c r="BN228" s="25"/>
      <c r="BP228" s="7"/>
      <c r="BQ228" s="7"/>
      <c r="BR228" s="7"/>
      <c r="BS228" s="7"/>
      <c r="BT228" s="7"/>
      <c r="BU228" s="7"/>
      <c r="BV228" s="7"/>
      <c r="BW228" s="7"/>
      <c r="BX228" s="7"/>
      <c r="BY228" s="7"/>
      <c r="BZ228" s="7"/>
    </row>
    <row r="229" spans="1:78" ht="52" thickBot="1" x14ac:dyDescent="0.25">
      <c r="B229" s="1700"/>
      <c r="C229" s="716" t="s">
        <v>610</v>
      </c>
      <c r="D229" s="717" t="str">
        <f>_xlfn.XLOOKUP(H229,H227:H228,D227:D228)</f>
        <v xml:space="preserve">Arrive-t-il que le nouveau ou nouvelle conjoint·e dénigre votre famille devant votre enfant ? </v>
      </c>
      <c r="E229" s="718" t="str">
        <f>_xlfn.XLOOKUP(H229,H227:H228,E227:E228)</f>
        <v>Le nouveau conjoint.e dénigre votre nouvelle famille devant l'enfant</v>
      </c>
      <c r="F229" s="719"/>
      <c r="G229" s="719"/>
      <c r="H229" s="713">
        <f>IF(AND(K227=TRUE,K228=FALSE),H227,IF(AND(K227=FALSE,K228=TRUE),H228,MAX(H227,H228)))</f>
        <v>0</v>
      </c>
      <c r="I229" s="1353"/>
      <c r="J229" s="720"/>
      <c r="K229" s="721" t="b">
        <f>IF(AND(K227=FALSE,K228=FALSE),FALSE,TRUE)</f>
        <v>0</v>
      </c>
      <c r="L229" s="31"/>
      <c r="M229" s="31"/>
      <c r="N229" s="31"/>
      <c r="O229" s="1351"/>
      <c r="P229" s="1353"/>
      <c r="Q229" s="720"/>
      <c r="R229" s="1366" t="b">
        <f>IF(AND(R227=FALSE,R228=FALSE),FALSE,TRUE)</f>
        <v>0</v>
      </c>
      <c r="S229" s="1353"/>
      <c r="T229" s="720"/>
      <c r="U229" s="1366" t="b">
        <f>IF(AND(U227=FALSE,U228=FALSE),FALSE,TRUE)</f>
        <v>0</v>
      </c>
      <c r="V229" s="807"/>
      <c r="W229" s="821"/>
      <c r="X229" s="822"/>
      <c r="Y229" s="821"/>
      <c r="Z229" s="822"/>
      <c r="AA229" s="821"/>
      <c r="AB229" s="822"/>
      <c r="AD229" s="10"/>
      <c r="AE229" s="10"/>
      <c r="AF229" s="10"/>
      <c r="AG229" s="1740">
        <f>IF($K229=TRUE,MAX(AG227:AG228),0)</f>
        <v>0</v>
      </c>
      <c r="AH229" s="1740">
        <f>IF($R229=TRUE,MAX(AH227:AH228),0)</f>
        <v>0</v>
      </c>
      <c r="AI229" s="1740">
        <f>IF($U229=TRUE,MAX(AI227:AI228),0)</f>
        <v>0</v>
      </c>
      <c r="AJ229" s="1739">
        <f>MAX(AJ227:AJ228)</f>
        <v>0</v>
      </c>
      <c r="AK229" s="1739">
        <f t="shared" ref="AK229" si="419">MAX(AK227:AK228)</f>
        <v>0</v>
      </c>
      <c r="AL229" s="1739">
        <f t="shared" ref="AL229" si="420">MAX(AL227:AL228)</f>
        <v>0</v>
      </c>
      <c r="AM229" s="1739">
        <f t="shared" ref="AM229" si="421">MAX(AM227:AM228)</f>
        <v>0</v>
      </c>
      <c r="AN229" s="1739">
        <f t="shared" ref="AN229" si="422">MAX(AN227:AN228)</f>
        <v>0</v>
      </c>
      <c r="AO229" s="1739">
        <f t="shared" ref="AO229" si="423">MAX(AO227:AO228)</f>
        <v>0</v>
      </c>
      <c r="AV229" s="7"/>
      <c r="AX229" s="7"/>
      <c r="AY229" s="734"/>
      <c r="AZ229" s="734"/>
      <c r="BA229" s="87"/>
      <c r="BB229" s="442"/>
      <c r="BC229" s="89"/>
      <c r="BD229" s="446"/>
      <c r="BE229" s="446"/>
      <c r="BF229" s="89"/>
      <c r="BG229" s="447"/>
      <c r="BH229" s="447"/>
      <c r="BI229" s="443"/>
      <c r="BN229" s="25"/>
      <c r="BP229" s="7"/>
      <c r="BQ229" s="7"/>
      <c r="BR229" s="7"/>
      <c r="BS229" s="7"/>
      <c r="BT229" s="7"/>
      <c r="BU229" s="7"/>
      <c r="BV229" s="7"/>
      <c r="BW229" s="7"/>
      <c r="BX229" s="7"/>
      <c r="BY229" s="7"/>
      <c r="BZ229" s="7"/>
    </row>
    <row r="230" spans="1:78" ht="35" thickBot="1" x14ac:dyDescent="0.25">
      <c r="B230" s="1700"/>
      <c r="C230" s="722" t="s">
        <v>616</v>
      </c>
      <c r="D230" s="723"/>
      <c r="E230" s="723" t="str">
        <f>IF(H230=H226,E226,E229)</f>
        <v>dénigre votre nouvelle famille devant l'enfant</v>
      </c>
      <c r="F230" s="724"/>
      <c r="G230" s="724"/>
      <c r="H230" s="724">
        <f>IF(AND(K226=TRUE,K229=FALSE),H226,IF(AND(K226=FALSE,K229=TRUE),H229,IF(AND(K226=TRUE,K229=TRUE),H226+H229,MAX(H226,H229))))</f>
        <v>0</v>
      </c>
      <c r="I230" s="1354"/>
      <c r="J230" s="725"/>
      <c r="K230" s="726" t="b">
        <f>IF(AND(K226=FALSE,K229=FALSE),FALSE,TRUE)</f>
        <v>0</v>
      </c>
      <c r="L230" s="1338"/>
      <c r="M230" s="1338"/>
      <c r="N230" s="1338"/>
      <c r="O230" s="1355"/>
      <c r="P230" s="1354"/>
      <c r="Q230" s="725"/>
      <c r="R230" s="726" t="b">
        <f>IF(AND(R226=FALSE,R229=FALSE),FALSE,TRUE)</f>
        <v>0</v>
      </c>
      <c r="S230" s="1354"/>
      <c r="T230" s="725"/>
      <c r="U230" s="726" t="b">
        <f>IF(AND(U226=FALSE,U229=FALSE),FALSE,TRUE)</f>
        <v>0</v>
      </c>
      <c r="V230" s="807"/>
      <c r="W230" s="821" t="str">
        <f>IF(K230=TRUE,"V","F")</f>
        <v>F</v>
      </c>
      <c r="X230" s="822"/>
      <c r="Y230" s="821" t="str">
        <f>IF(R230=TRUE,"V","F")</f>
        <v>F</v>
      </c>
      <c r="Z230" s="822"/>
      <c r="AA230" s="821" t="str">
        <f>IF(U230=TRUE,"V","F")</f>
        <v>F</v>
      </c>
      <c r="AB230" s="822"/>
      <c r="AC230" t="str">
        <f>IF(OR(W230="V",Y230="V"),IF(H229&gt;H226,"Le NC contribue plus que le coparent","Le coparent joue un plus grand rôle que le NC"),"pas de contexte significatif de la part du coparent et NC")</f>
        <v>pas de contexte significatif de la part du coparent et NC</v>
      </c>
      <c r="AD230" s="10"/>
      <c r="AE230" s="10"/>
      <c r="AF230" s="10"/>
      <c r="AG230" s="591">
        <f>IF(AND($K226=TRUE,$K229=FALSE),AG226,IF(AND($K226=FALSE,$K229=TRUE),AG229,IF(AND($K226=TRUE,$K229=TRUE),AG226+AG229,0)))</f>
        <v>0</v>
      </c>
      <c r="AH230" s="591">
        <f>IF(AND($R226=TRUE,$R229=FALSE),AH226,IF(AND($R226=FALSE,$R229=TRUE),AH229,IF(AND($R226=TRUE,$R229=TRUE),AH226+AH229,0)))</f>
        <v>0</v>
      </c>
      <c r="AI230" s="591">
        <f>IF(AND($U226=TRUE,$U229=FALSE),AI226,IF(AND($U226=FALSE,$U229=TRUE),AI229,IF(AND($U226=TRUE,$U229=TRUE),AI226+AI229,0)))</f>
        <v>0</v>
      </c>
      <c r="AJ230" s="591">
        <f>IF(AND($K226=TRUE,$K229=FALSE),AJ226,IF(AND($K226=FALSE,$K229=TRUE),AJ229,IF(AND($K226=TRUE,$K229=TRUE),AJ226+AJ229,MAX(AJ226,AJ229))))</f>
        <v>0</v>
      </c>
      <c r="AK230" s="591">
        <f>IF(AND($K226=TRUE,$K229=FALSE),AK226,IF(AND($K226=FALSE,$K229=TRUE),AK229,IF(AND($K226=TRUE,$K229=TRUE),AK226+AK229,MAX(AK226,AK229))))</f>
        <v>0</v>
      </c>
      <c r="AL230" s="591">
        <f t="shared" ref="AL230" si="424">IF(AND($R226=TRUE,$R229=FALSE),AL226,IF(AND($R226=FALSE,$R229=TRUE),AL229,IF(AND($R226=TRUE,$R229=TRUE),AL226+AL229,MAX(AL226,AL229))))</f>
        <v>0</v>
      </c>
      <c r="AM230" s="591">
        <f t="shared" ref="AM230" si="425">IF(AND($R226=TRUE,$R229=FALSE),AM226,IF(AND($R226=FALSE,$R229=TRUE),AM229,IF(AND($R226=TRUE,$R229=TRUE),AM226+AM229,MAX(AM226,AM229))))</f>
        <v>0</v>
      </c>
      <c r="AN230" s="591">
        <f t="shared" ref="AN230" si="426">IF(AND($U226=TRUE,$U229=FALSE),AN226,IF(AND($U226=FALSE,$U229=TRUE),AN229,IF(AND($U226=TRUE,$U229=TRUE),AN226+AN229,MAX(AN226,AN229))))</f>
        <v>0</v>
      </c>
      <c r="AO230" s="591">
        <f t="shared" ref="AO230" si="427">IF(AND($U226=TRUE,$U229=FALSE),AO226,IF(AND($U226=FALSE,$U229=TRUE),AO229,IF(AND($U226=TRUE,$U229=TRUE),AO226+AO229,MAX(AO226,AO229))))</f>
        <v>0</v>
      </c>
      <c r="AV230" s="7"/>
      <c r="AX230" s="7"/>
      <c r="AY230" s="734"/>
      <c r="AZ230" s="734"/>
      <c r="BA230" s="87"/>
      <c r="BB230" s="442"/>
      <c r="BC230" s="89"/>
      <c r="BD230" s="446"/>
      <c r="BE230" s="446"/>
      <c r="BF230" s="89"/>
      <c r="BG230" s="447"/>
      <c r="BH230" s="447"/>
      <c r="BI230" s="443"/>
      <c r="BN230" s="25"/>
      <c r="BP230" s="7"/>
      <c r="BQ230" s="7"/>
      <c r="BR230" s="7"/>
      <c r="BS230" s="7"/>
      <c r="BT230" s="7"/>
      <c r="BU230" s="7"/>
      <c r="BV230" s="7"/>
      <c r="BW230" s="7"/>
      <c r="BX230" s="7"/>
      <c r="BY230" s="7"/>
      <c r="BZ230" s="7"/>
    </row>
    <row r="231" spans="1:78" ht="34" x14ac:dyDescent="0.2">
      <c r="A231" t="str">
        <f>IF(Test_Bible!B285="","F","O")</f>
        <v>F</v>
      </c>
      <c r="B231" s="1700" t="str">
        <f>'Cpts AR +indép + Sommaire'!S34</f>
        <v>Dénigrement</v>
      </c>
      <c r="C231" s="287" t="str">
        <f>'Cpts AR +indép + Sommaire'!O34</f>
        <v>E13</v>
      </c>
      <c r="D231" s="25" t="str">
        <f>'Cpts AR +indép + Sommaire'!P34</f>
        <v>Votre enfant dénigre votre nouvelle famille (nouveau ou nouvelle conjoint·e ou enfant né·e d’une nouvelle union).</v>
      </c>
      <c r="E231" s="78" t="s">
        <v>631</v>
      </c>
      <c r="F231" s="709">
        <f>'Cpts AR +indép + Sommaire'!Q34</f>
        <v>0</v>
      </c>
      <c r="G231" s="709">
        <f>'Cpts AR +indép + Sommaire'!R34</f>
        <v>2</v>
      </c>
      <c r="H231" s="709">
        <f>F231*G231</f>
        <v>0</v>
      </c>
      <c r="I231" s="1350">
        <v>4</v>
      </c>
      <c r="J231" s="1343">
        <v>10</v>
      </c>
      <c r="K231" s="31" t="b">
        <f>IF(AND(F231&gt;=I231,F231&lt;=J231),TRUE,FALSE)</f>
        <v>0</v>
      </c>
      <c r="L231" s="31"/>
      <c r="M231" s="31"/>
      <c r="N231" s="31"/>
      <c r="O231" s="1351"/>
      <c r="P231" s="1350">
        <v>2</v>
      </c>
      <c r="Q231" s="1343">
        <v>7</v>
      </c>
      <c r="R231" s="1351" t="b">
        <f>IF(AND(F231&gt;=P231,F231&lt;=Q231),TRUE,FALSE)</f>
        <v>0</v>
      </c>
      <c r="S231" s="1350"/>
      <c r="T231" s="1343"/>
      <c r="U231" s="1351"/>
      <c r="V231" s="807"/>
      <c r="W231" s="821" t="s">
        <v>753</v>
      </c>
      <c r="X231" s="822"/>
      <c r="Y231" s="821"/>
      <c r="Z231" s="822"/>
      <c r="AA231" s="821"/>
      <c r="AB231" s="822"/>
      <c r="AD231" s="10"/>
      <c r="AE231" s="10"/>
      <c r="AF231" s="10"/>
      <c r="AG231" s="832">
        <f>IF($K231=TRUE,H231,0)</f>
        <v>0</v>
      </c>
      <c r="AH231" s="832">
        <f>IF($R231=TRUE,H231,0)</f>
        <v>0</v>
      </c>
      <c r="AI231" s="832"/>
      <c r="AJ231" s="1490">
        <f t="shared" ref="AJ231:AJ232" si="428">IF(OR(I231=11,A231="F"),0,G231*I231)</f>
        <v>0</v>
      </c>
      <c r="AK231" s="1490">
        <f t="shared" ref="AK231:AK232" si="429">IF(OR(J231=11,A231="F"),0,G231*J231)</f>
        <v>0</v>
      </c>
      <c r="AL231" s="1490">
        <f t="shared" ref="AL231:AL232" si="430">IF(OR(P231=11,A231="F"),0,G231*P231)</f>
        <v>0</v>
      </c>
      <c r="AM231" s="1490">
        <f t="shared" ref="AM231:AM232" si="431">IF(OR(Q231=11,A231="F"),0,G231*Q231)</f>
        <v>0</v>
      </c>
      <c r="AN231" s="1490">
        <f t="shared" ref="AN231:AN232" si="432">IF(OR(S231=11,A231="F"),0,S231*G231)</f>
        <v>0</v>
      </c>
      <c r="AO231" s="1490">
        <f t="shared" ref="AO231:AO232" si="433">IF(OR(T231=11,A231="F"),0,T231*G231)</f>
        <v>0</v>
      </c>
      <c r="AV231" s="7"/>
      <c r="AX231" s="7"/>
      <c r="AY231" s="734"/>
      <c r="AZ231" s="734"/>
      <c r="BA231" s="87"/>
      <c r="BB231" s="442"/>
      <c r="BC231" s="89"/>
      <c r="BD231" s="446"/>
      <c r="BE231" s="446"/>
      <c r="BF231" s="89"/>
      <c r="BG231" s="447"/>
      <c r="BH231" s="447"/>
      <c r="BI231" s="443"/>
      <c r="BN231" s="25"/>
      <c r="BP231" s="7"/>
      <c r="BQ231" s="7"/>
      <c r="BR231" s="7"/>
      <c r="BS231" s="7"/>
      <c r="BT231" s="7"/>
      <c r="BU231" s="7"/>
      <c r="BV231" s="7"/>
      <c r="BW231" s="7"/>
      <c r="BX231" s="7"/>
      <c r="BY231" s="7"/>
      <c r="BZ231" s="7"/>
    </row>
    <row r="232" spans="1:78" ht="20" thickBot="1" x14ac:dyDescent="0.25">
      <c r="B232" s="1700"/>
      <c r="C232" s="287" t="s">
        <v>272</v>
      </c>
      <c r="D232" s="25"/>
      <c r="E232" s="78"/>
      <c r="F232" s="709"/>
      <c r="G232" s="708"/>
      <c r="H232" s="709">
        <f>F232*G232</f>
        <v>0</v>
      </c>
      <c r="I232" s="1374">
        <v>11</v>
      </c>
      <c r="J232" s="1375">
        <v>11</v>
      </c>
      <c r="K232" s="31" t="b">
        <f>IF(AND(F232&gt;=I232,F232&lt;=J232),TRUE,FALSE)</f>
        <v>0</v>
      </c>
      <c r="L232" s="31"/>
      <c r="M232" s="31"/>
      <c r="N232" s="31"/>
      <c r="O232" s="1351"/>
      <c r="P232" s="1374">
        <v>11</v>
      </c>
      <c r="Q232" s="1375">
        <v>11</v>
      </c>
      <c r="R232" s="1351" t="b">
        <f>IF(AND(F232&gt;=P232,F232&lt;=Q232),TRUE,FALSE)</f>
        <v>0</v>
      </c>
      <c r="S232" s="1374"/>
      <c r="T232" s="1375"/>
      <c r="U232" s="1351"/>
      <c r="V232" s="807"/>
      <c r="W232" s="821"/>
      <c r="X232" s="822"/>
      <c r="Y232" s="821"/>
      <c r="Z232" s="822"/>
      <c r="AA232" s="821"/>
      <c r="AB232" s="822"/>
      <c r="AD232" s="10"/>
      <c r="AE232" s="10"/>
      <c r="AF232" s="10"/>
      <c r="AG232" s="832">
        <f>IF($K232=TRUE,H232,0)</f>
        <v>0</v>
      </c>
      <c r="AH232" s="832">
        <f>IF($R232=TRUE,H232,0)</f>
        <v>0</v>
      </c>
      <c r="AI232" s="832"/>
      <c r="AJ232" s="1490">
        <f t="shared" si="428"/>
        <v>0</v>
      </c>
      <c r="AK232" s="1490">
        <f t="shared" si="429"/>
        <v>0</v>
      </c>
      <c r="AL232" s="1490">
        <f t="shared" si="430"/>
        <v>0</v>
      </c>
      <c r="AM232" s="1490">
        <f t="shared" si="431"/>
        <v>0</v>
      </c>
      <c r="AN232" s="1490">
        <f t="shared" si="432"/>
        <v>0</v>
      </c>
      <c r="AO232" s="1490">
        <f t="shared" si="433"/>
        <v>0</v>
      </c>
      <c r="AV232" s="7"/>
      <c r="AX232" s="7"/>
      <c r="AY232" s="734"/>
      <c r="AZ232" s="734"/>
      <c r="BA232" s="87"/>
      <c r="BB232" s="442"/>
      <c r="BC232" s="89"/>
      <c r="BD232" s="446"/>
      <c r="BE232" s="446"/>
      <c r="BF232" s="89"/>
      <c r="BG232" s="447"/>
      <c r="BH232" s="447"/>
      <c r="BI232" s="443"/>
      <c r="BN232" s="25"/>
      <c r="BP232" s="7"/>
      <c r="BQ232" s="7"/>
      <c r="BR232" s="7"/>
      <c r="BS232" s="7"/>
      <c r="BT232" s="7"/>
      <c r="BU232" s="7"/>
      <c r="BV232" s="7"/>
      <c r="BW232" s="7"/>
      <c r="BX232" s="7"/>
      <c r="BY232" s="7"/>
      <c r="BZ232" s="7"/>
    </row>
    <row r="233" spans="1:78" ht="35" thickBot="1" x14ac:dyDescent="0.25">
      <c r="B233" s="1700"/>
      <c r="C233" s="727" t="s">
        <v>611</v>
      </c>
      <c r="D233" s="728" t="str">
        <f>_xlfn.XLOOKUP(H233,H231:H232,D231:D232)</f>
        <v>Votre enfant dénigre votre nouvelle famille (nouveau ou nouvelle conjoint·e ou enfant né·e d’une nouvelle union).</v>
      </c>
      <c r="E233" s="728" t="str">
        <f>_xlfn.XLOOKUP(H233,H231:H232,E231:E232)</f>
        <v>dénigre votre nouvelle famille devant l'enfant</v>
      </c>
      <c r="F233" s="729"/>
      <c r="G233" s="729"/>
      <c r="H233" s="729">
        <f>IF(AND(K231=TRUE,K232=FALSE),H231,IF(AND(K231=FALSE,K232=TRUE),H232,MAX(H231,H232)))</f>
        <v>0</v>
      </c>
      <c r="I233" s="1356"/>
      <c r="J233" s="730"/>
      <c r="K233" s="731" t="b">
        <f>IF(AND(K231=FALSE,K232=FALSE),FALSE,TRUE)</f>
        <v>0</v>
      </c>
      <c r="L233" s="1339"/>
      <c r="M233" s="1339"/>
      <c r="N233" s="1339"/>
      <c r="O233" s="1357"/>
      <c r="P233" s="1356"/>
      <c r="Q233" s="730"/>
      <c r="R233" s="731" t="b">
        <f>IF(AND(R231=FALSE,R232=FALSE),FALSE,TRUE)</f>
        <v>0</v>
      </c>
      <c r="S233" s="1356"/>
      <c r="T233" s="730"/>
      <c r="U233" s="731"/>
      <c r="V233" s="807"/>
      <c r="W233" s="821" t="str">
        <f>IF(K233=TRUE,"V","F")</f>
        <v>F</v>
      </c>
      <c r="X233" s="822"/>
      <c r="Y233" s="821" t="str">
        <f>IF(R233=TRUE,"V","F")</f>
        <v>F</v>
      </c>
      <c r="Z233" s="822"/>
      <c r="AA233" s="821"/>
      <c r="AB233" s="822"/>
      <c r="AD233" s="10"/>
      <c r="AE233" s="10"/>
      <c r="AF233" s="10"/>
      <c r="AG233" s="1742">
        <f>IF(AND($K231=TRUE,$K232=FALSE),AG231,IF(AND($K231=FALSE,$K232=TRUE),AG232,IF(AND($K231=TRUE,$K232=TRUE),MAX(AG231,AG232),0)))</f>
        <v>0</v>
      </c>
      <c r="AH233" s="1742">
        <f>IF(AND($R231=TRUE,$R232=FALSE),AH231,IF(AND($R231=FALSE,$R232=TRUE),AH232,IF(AND($R231=TRUE,$R232=TRUE),MAX(AH231,AH232),0)))</f>
        <v>0</v>
      </c>
      <c r="AI233" s="1742"/>
      <c r="AJ233" s="1742">
        <f>IF(AND($K231=TRUE,$K232=FALSE),AJ231,IF(AND($K231=FALSE,$K232=TRUE),AJ232,IF(AND($K231=TRUE,$K232=TRUE),MAX(AJ231,AJ232),0)))</f>
        <v>0</v>
      </c>
      <c r="AK233" s="1742">
        <f>IF(AND($K231=TRUE,$K232=FALSE),AK231,IF(AND($K231=FALSE,$K232=TRUE),AK232,IF(AND($K231=TRUE,$K232=TRUE),MAX(AK231,AK232),0)))</f>
        <v>0</v>
      </c>
      <c r="AL233" s="1742">
        <f t="shared" ref="AL233" si="434">IF(AND($R231=TRUE,$R232=FALSE),AL231,IF(AND($R231=FALSE,$R232=TRUE),AL232,IF(AND($R231=TRUE,$R232=TRUE),MAX(AL231,AL232),0)))</f>
        <v>0</v>
      </c>
      <c r="AM233" s="1742">
        <f t="shared" ref="AM233" si="435">IF(AND($R231=TRUE,$R232=FALSE),AM231,IF(AND($R231=FALSE,$R232=TRUE),AM232,IF(AND($R231=TRUE,$R232=TRUE),MAX(AM231,AM232),0)))</f>
        <v>0</v>
      </c>
      <c r="AN233" s="1742"/>
      <c r="AO233" s="1742"/>
      <c r="AY233" s="734"/>
      <c r="AZ233" s="734"/>
      <c r="BA233" s="87"/>
      <c r="BB233" s="442"/>
      <c r="BC233" s="89"/>
      <c r="BD233" s="446"/>
      <c r="BE233" s="446"/>
      <c r="BF233" s="89"/>
      <c r="BG233" s="447"/>
      <c r="BH233" s="447"/>
      <c r="BI233" s="443"/>
    </row>
    <row r="234" spans="1:78" ht="34" x14ac:dyDescent="0.2">
      <c r="B234" s="1700"/>
      <c r="D234" s="386" t="s">
        <v>273</v>
      </c>
      <c r="E234" s="705"/>
      <c r="F234" s="439" t="s">
        <v>349</v>
      </c>
      <c r="G234" s="33"/>
      <c r="H234" s="33">
        <f>IF(AND(K230=TRUE,K233=FALSE),H230,IF(AND(K230=FALSE,K233=TRUE),H233,IF(AND(K230=TRUE,K233=TRUE),H230+H233,MAX(H230,H233))))</f>
        <v>0</v>
      </c>
      <c r="I234" s="1358"/>
      <c r="J234" s="440"/>
      <c r="K234" s="1341"/>
      <c r="L234" s="1342" t="str">
        <f>IF(AND(K233=TRUE,K230=TRUE),E233,"")</f>
        <v/>
      </c>
      <c r="M234" s="1342" t="str">
        <f>IF(AND(K230=TRUE,K233=FALSE),"Bien que le parent "&amp;E230&amp;" l'enfant ne semble pas s'ingérer","")</f>
        <v/>
      </c>
      <c r="N234" s="1342" t="str">
        <f>IF(AND(K230=FALSE,K233=TRUE),E233&amp;" sans signe de la participation du parent favorisé et|ou nouveau conjoint.e","")</f>
        <v/>
      </c>
      <c r="O234" s="1359" t="str">
        <f>IF(AND(K230=FALSE,K233=FALSE),"aucun comportement significatif de cette nature","")</f>
        <v>aucun comportement significatif de cette nature</v>
      </c>
      <c r="P234" s="1358"/>
      <c r="Q234" s="440"/>
      <c r="R234" s="1367"/>
      <c r="S234" s="1358"/>
      <c r="T234" s="440"/>
      <c r="U234" s="1367"/>
      <c r="V234" s="145"/>
      <c r="W234" s="823"/>
      <c r="X234" s="824">
        <f>IF(AND(W230="V",W233="V"),2,IF(OR(W230="V",W233="V"),1,0))</f>
        <v>0</v>
      </c>
      <c r="Y234" s="823"/>
      <c r="Z234" s="824">
        <f>IF(OR(Y230="V",Y233="V"),1,0)</f>
        <v>0</v>
      </c>
      <c r="AA234" s="823"/>
      <c r="AB234" s="824"/>
      <c r="AD234" s="10"/>
      <c r="AE234" s="10"/>
      <c r="AF234" s="10"/>
      <c r="AG234" s="1738">
        <f>IF(AND($W230="V",$W233="F"),AG230,IF(AND($W230="F",$W233="V"),AG233,IF(AND($W230="V",$W233="V"),AG230+AG233,0)))</f>
        <v>0</v>
      </c>
      <c r="AH234" s="1738">
        <f>IF(AND($Y230="V",$Y233="F"),AH230,IF(AND($Y230="F",$Y233="V"),AH233,IF(AND($Y230="V",$Y233="V"),AH230+AH233,0)))</f>
        <v>0</v>
      </c>
      <c r="AI234" s="1738"/>
      <c r="AJ234" s="1738">
        <f>IF(AND($W230="V",$W233="F"),AJ230,IF(AND($W230="F",$W233="V"),AJ233,IF(AND($W230="V",$W233="V"),AJ230+AJ233,0)))</f>
        <v>0</v>
      </c>
      <c r="AK234" s="1738">
        <f>IF(AND($W230="V",$W233="F"),AK230,IF(AND($W230="F",$W233="V"),AK233,IF(AND($W230="V",$W233="V"),AK230+AK233,0)))</f>
        <v>0</v>
      </c>
      <c r="AL234" s="1738">
        <f>IF(AND($Y230="V",$Y233="F"),AL230,IF(AND($Y230="F",$Y233="V"),AL233,IF(AND($Y230="V",$Y233="V"),AL230+AL233,0)))</f>
        <v>0</v>
      </c>
      <c r="AM234" s="1738">
        <f>IF(AND($Y230="V",$Y233="F"),AM230,IF(AND($Y230="F",$Y233="V"),AM233,IF(AND($Y230="V",$Y233="V"),AM230+AM233,0)))</f>
        <v>0</v>
      </c>
      <c r="AN234" s="1738"/>
      <c r="AO234" s="1738"/>
      <c r="AY234" s="734"/>
      <c r="AZ234" s="734"/>
      <c r="BA234" s="87"/>
      <c r="BB234" s="442"/>
      <c r="BC234" s="89"/>
      <c r="BD234" s="446"/>
      <c r="BE234" s="446"/>
      <c r="BF234" s="89"/>
      <c r="BG234" s="447"/>
      <c r="BH234" s="447"/>
      <c r="BI234" s="443"/>
    </row>
    <row r="235" spans="1:78" ht="19" x14ac:dyDescent="0.2">
      <c r="B235" s="1700"/>
      <c r="C235" t="s">
        <v>238</v>
      </c>
      <c r="I235" s="122"/>
      <c r="L235" s="32"/>
      <c r="M235" s="32"/>
      <c r="N235" s="32"/>
      <c r="O235" s="1379"/>
      <c r="P235" s="122"/>
      <c r="R235" s="292"/>
      <c r="S235" s="122"/>
      <c r="U235" s="292"/>
      <c r="V235" s="32"/>
      <c r="W235" s="821"/>
      <c r="X235" s="822"/>
      <c r="Y235" s="821"/>
      <c r="Z235" s="822"/>
      <c r="AA235" s="821"/>
      <c r="AB235" s="822"/>
      <c r="AD235" s="10"/>
      <c r="AE235" s="10"/>
      <c r="AF235" s="10"/>
      <c r="AG235" s="832"/>
      <c r="AH235" s="832"/>
      <c r="AI235" s="832"/>
      <c r="AJ235" s="1490"/>
      <c r="AK235" s="1490"/>
      <c r="AL235" s="1490"/>
      <c r="AM235" s="1490"/>
      <c r="AN235" s="1490"/>
      <c r="AO235" s="1490"/>
      <c r="AY235" s="734"/>
      <c r="AZ235" s="734"/>
      <c r="BA235" s="87"/>
      <c r="BB235" s="442"/>
      <c r="BC235" s="89"/>
      <c r="BD235" s="446"/>
      <c r="BE235" s="446"/>
      <c r="BF235" s="89"/>
      <c r="BG235" s="447"/>
      <c r="BH235" s="447"/>
      <c r="BI235" s="443"/>
    </row>
    <row r="236" spans="1:78" ht="19" x14ac:dyDescent="0.2">
      <c r="B236" s="1700"/>
      <c r="C236" s="825"/>
      <c r="D236" s="829"/>
      <c r="E236" s="826"/>
      <c r="F236" s="830"/>
      <c r="G236" s="830"/>
      <c r="H236" s="830">
        <f>F236*G236</f>
        <v>0</v>
      </c>
      <c r="I236" s="1374">
        <v>11</v>
      </c>
      <c r="J236" s="1375">
        <v>11</v>
      </c>
      <c r="K236" s="31" t="b">
        <f>IF(AND(F236&gt;=I236,F236&lt;=J236),TRUE,FALSE)</f>
        <v>0</v>
      </c>
      <c r="L236" s="26"/>
      <c r="M236" s="26"/>
      <c r="N236" s="26"/>
      <c r="O236" s="1360"/>
      <c r="P236" s="1374">
        <v>11</v>
      </c>
      <c r="Q236" s="1375">
        <v>11</v>
      </c>
      <c r="R236" s="1351" t="b">
        <f>IF(AND(F236&gt;=P236,F236&lt;=Q236),TRUE,FALSE)</f>
        <v>0</v>
      </c>
      <c r="S236" s="1374">
        <v>11</v>
      </c>
      <c r="T236" s="1375">
        <v>11</v>
      </c>
      <c r="U236" s="1351" t="b">
        <f>IF(AND(F236&gt;=S236,F236&lt;=T236),TRUE,FALSE)</f>
        <v>0</v>
      </c>
      <c r="V236" s="32"/>
      <c r="W236" s="821"/>
      <c r="X236" s="822"/>
      <c r="Y236" s="821"/>
      <c r="Z236" s="822"/>
      <c r="AA236" s="821"/>
      <c r="AB236" s="822"/>
      <c r="AD236" s="10"/>
      <c r="AE236" s="10"/>
      <c r="AF236" s="10"/>
      <c r="AG236" s="832">
        <f>IF($K236=TRUE,H236,0)</f>
        <v>0</v>
      </c>
      <c r="AH236" s="832">
        <f>IF($R236=TRUE,H236,0)</f>
        <v>0</v>
      </c>
      <c r="AI236" s="832">
        <f>IF($U236=TRUE,H236,0)</f>
        <v>0</v>
      </c>
      <c r="AJ236" s="1490">
        <f t="shared" ref="AJ236:AJ237" si="436">IF(OR(I236=11,A236="F"),0,G236*I236)</f>
        <v>0</v>
      </c>
      <c r="AK236" s="1490">
        <f t="shared" ref="AK236:AK237" si="437">IF(OR(J236=11,A236="F"),0,G236*J236)</f>
        <v>0</v>
      </c>
      <c r="AL236" s="1490">
        <f t="shared" ref="AL236:AL237" si="438">IF(OR(P236=11,A236="F"),0,G236*P236)</f>
        <v>0</v>
      </c>
      <c r="AM236" s="1490">
        <f t="shared" ref="AM236:AM237" si="439">IF(OR(Q236=11,A236="F"),0,G236*Q236)</f>
        <v>0</v>
      </c>
      <c r="AN236" s="1490">
        <f t="shared" ref="AN236:AN237" si="440">IF(OR(S236=11,A236="F"),0,S236*G236)</f>
        <v>0</v>
      </c>
      <c r="AO236" s="1490">
        <f t="shared" ref="AO236:AO237" si="441">IF(OR(T236=11,A236="F"),0,T236*G236)</f>
        <v>0</v>
      </c>
      <c r="AY236" s="734"/>
      <c r="AZ236" s="734"/>
      <c r="BA236" s="87"/>
      <c r="BB236" s="442"/>
      <c r="BC236" s="89"/>
      <c r="BD236" s="446"/>
      <c r="BE236" s="446"/>
      <c r="BF236" s="89"/>
      <c r="BG236" s="447"/>
      <c r="BH236" s="447"/>
      <c r="BI236" s="443"/>
    </row>
    <row r="237" spans="1:78" ht="20" thickBot="1" x14ac:dyDescent="0.25">
      <c r="B237" s="1700"/>
      <c r="C237" s="825"/>
      <c r="D237" s="829"/>
      <c r="E237" s="826"/>
      <c r="F237" s="830"/>
      <c r="G237" s="830"/>
      <c r="H237" s="830">
        <f>F237*G237</f>
        <v>0</v>
      </c>
      <c r="I237" s="1374">
        <v>11</v>
      </c>
      <c r="J237" s="1375">
        <v>11</v>
      </c>
      <c r="K237" s="31" t="b">
        <f>IF(AND(F237&gt;=I237,F237&lt;=J237),TRUE,FALSE)</f>
        <v>0</v>
      </c>
      <c r="L237" s="26"/>
      <c r="M237" s="26"/>
      <c r="N237" s="26"/>
      <c r="O237" s="1360"/>
      <c r="P237" s="1374">
        <v>11</v>
      </c>
      <c r="Q237" s="1375">
        <v>11</v>
      </c>
      <c r="R237" s="1351" t="b">
        <f>IF(AND(F237&gt;=P237,F237&lt;=Q237),TRUE,FALSE)</f>
        <v>0</v>
      </c>
      <c r="S237" s="1374">
        <v>11</v>
      </c>
      <c r="T237" s="1375">
        <v>11</v>
      </c>
      <c r="U237" s="1351" t="b">
        <f>IF(AND(F237&gt;=S237,F237&lt;=T237),TRUE,FALSE)</f>
        <v>0</v>
      </c>
      <c r="W237" s="821"/>
      <c r="X237" s="822"/>
      <c r="Y237" s="821"/>
      <c r="Z237" s="822"/>
      <c r="AA237" s="821"/>
      <c r="AB237" s="822"/>
      <c r="AD237" s="10"/>
      <c r="AE237" s="10"/>
      <c r="AF237" s="10"/>
      <c r="AG237" s="832">
        <f>IF($K237=TRUE,H237,0)</f>
        <v>0</v>
      </c>
      <c r="AH237" s="832">
        <f>IF($R237=TRUE,H237,0)</f>
        <v>0</v>
      </c>
      <c r="AI237" s="832">
        <f>IF($U237=TRUE,H237,0)</f>
        <v>0</v>
      </c>
      <c r="AJ237" s="1490">
        <f t="shared" si="436"/>
        <v>0</v>
      </c>
      <c r="AK237" s="1490">
        <f t="shared" si="437"/>
        <v>0</v>
      </c>
      <c r="AL237" s="1490">
        <f t="shared" si="438"/>
        <v>0</v>
      </c>
      <c r="AM237" s="1490">
        <f t="shared" si="439"/>
        <v>0</v>
      </c>
      <c r="AN237" s="1490">
        <f t="shared" si="440"/>
        <v>0</v>
      </c>
      <c r="AO237" s="1490">
        <f t="shared" si="441"/>
        <v>0</v>
      </c>
      <c r="AY237" s="734"/>
      <c r="AZ237" s="734"/>
      <c r="BA237" s="87"/>
      <c r="BB237" s="442"/>
      <c r="BC237" s="89"/>
      <c r="BD237" s="446"/>
      <c r="BE237" s="446"/>
      <c r="BF237" s="89"/>
      <c r="BG237" s="447"/>
      <c r="BH237" s="447"/>
      <c r="BI237" s="443"/>
    </row>
    <row r="238" spans="1:78" ht="27" thickBot="1" x14ac:dyDescent="0.35">
      <c r="C238" s="7"/>
      <c r="D238" s="272"/>
      <c r="E238" s="272"/>
      <c r="F238" s="67"/>
      <c r="G238" s="16"/>
      <c r="H238" s="33">
        <f>IF(AND(K236=TRUE,K237=FALSE),H236,IF(AND(K236=FALSE,K237=TRUE),H237,MAX(H236,H237)))</f>
        <v>0</v>
      </c>
      <c r="I238" s="1371"/>
      <c r="J238" s="1372"/>
      <c r="K238" s="1378" t="b">
        <f>IF(AND(K236=FALSE,K237=FALSE),FALSE,TRUE)</f>
        <v>0</v>
      </c>
      <c r="L238" s="1361"/>
      <c r="M238" s="1362"/>
      <c r="N238" s="1362"/>
      <c r="O238" s="1363"/>
      <c r="P238" s="1371"/>
      <c r="Q238" s="1372"/>
      <c r="R238" s="1378" t="b">
        <f>IF(AND(R236=FALSE,R237=FALSE),FALSE,TRUE)</f>
        <v>0</v>
      </c>
      <c r="S238" s="1383"/>
      <c r="T238" s="1384"/>
      <c r="U238" s="1385" t="b">
        <f>IF(AND(U236=FALSE,U237=FALSE),FALSE,TRUE)</f>
        <v>0</v>
      </c>
      <c r="W238" s="1315" t="str">
        <f>IF(K238=TRUE,"V","F")</f>
        <v>F</v>
      </c>
      <c r="X238" s="1316"/>
      <c r="Y238" s="1315" t="str">
        <f>IF(R238=TRUE,"V","F")</f>
        <v>F</v>
      </c>
      <c r="Z238" s="1316"/>
      <c r="AA238" s="1315" t="str">
        <f>IF(U238=TRUE,"V","F")</f>
        <v>F</v>
      </c>
      <c r="AB238" s="1316"/>
      <c r="AD238" s="10"/>
      <c r="AE238" s="10"/>
      <c r="AF238" s="10"/>
      <c r="AG238" s="1742">
        <f>IF(AND($K236=TRUE,$K237=FALSE),AG236,IF(AND($K236=FALSE,$K237=TRUE),AG237,MAX(AG236,AG237)))</f>
        <v>0</v>
      </c>
      <c r="AH238" s="1742">
        <f>IF(AND($R236=TRUE,$R237=FALSE),AH236,IF(AND($R236=FALSE,$R237=TRUE),AH237,MAX(AH236,AH237)))</f>
        <v>0</v>
      </c>
      <c r="AI238" s="1742">
        <f>IF(AND($U236=TRUE,$U237=FALSE),AI236,IF(AND($U236=FALSE,$U237=TRUE),AI237,MAX(AI236,AI237)))</f>
        <v>0</v>
      </c>
      <c r="AJ238" s="1742">
        <f>IF(AND($K236=TRUE,$K237=FALSE),AJ236,IF(AND($K236=FALSE,$K237=TRUE),AJ237,MAX(AJ236,AJ237)))</f>
        <v>0</v>
      </c>
      <c r="AK238" s="1742">
        <f>IF(AND($K236=TRUE,$K237=FALSE),AK236,IF(AND($K236=FALSE,$K237=TRUE),AK237,MAX(AK236,AK237)))</f>
        <v>0</v>
      </c>
      <c r="AL238" s="1742">
        <f>IF(AND($R236=TRUE,$R237=FALSE),AL236,IF(AND($R236=FALSE,$R237=TRUE),AL237,MAX(AL236,AL237)))</f>
        <v>0</v>
      </c>
      <c r="AM238" s="1742">
        <f>IF(AND($R236=TRUE,$R237=FALSE),AM236,IF(AND($R236=FALSE,$R237=TRUE),AM237,MAX(AM236,AM237)))</f>
        <v>0</v>
      </c>
      <c r="AN238" s="1742">
        <f>IF(AND($U236=TRUE,$U237=FALSE),AN236,IF(AND($U236=FALSE,$U237=TRUE),AN237,MAX(AN236,AN237)))</f>
        <v>0</v>
      </c>
      <c r="AO238" s="1742">
        <f>IF(AND($U236=TRUE,$U237=FALSE),AO236,IF(AND($U236=FALSE,$U237=TRUE),AO237,MAX(AO236,AO237)))</f>
        <v>0</v>
      </c>
      <c r="AY238" s="734"/>
      <c r="AZ238" s="734"/>
      <c r="BA238" s="87"/>
      <c r="BB238" s="442"/>
      <c r="BC238" s="89"/>
      <c r="BD238" s="446"/>
      <c r="BE238" s="446"/>
      <c r="BF238" s="89"/>
      <c r="BG238" s="447"/>
      <c r="BH238" s="447"/>
      <c r="BI238" s="443"/>
    </row>
    <row r="239" spans="1:78" ht="27" thickBot="1" x14ac:dyDescent="0.35">
      <c r="D239" s="16"/>
      <c r="E239" s="16"/>
      <c r="F239" s="67"/>
      <c r="G239" s="438"/>
      <c r="H239" s="438"/>
      <c r="I239" s="8"/>
      <c r="J239" s="8"/>
      <c r="K239" s="808"/>
      <c r="L239" s="809"/>
      <c r="M239" s="809"/>
      <c r="N239" s="809"/>
      <c r="O239" s="809"/>
      <c r="P239" s="809"/>
      <c r="Q239" s="809"/>
      <c r="R239" s="809"/>
      <c r="S239" s="809"/>
      <c r="T239" s="809"/>
      <c r="U239" s="809"/>
      <c r="V239" s="809"/>
      <c r="W239" s="1376"/>
      <c r="X239" s="1377">
        <f>IF(AND(W238="V",W230="V"),X234-1,X234)</f>
        <v>0</v>
      </c>
      <c r="Y239" s="1376"/>
      <c r="Z239" s="1377">
        <f>IF(OR(Y230="V",Y233="V",Y238="V"),1,0)</f>
        <v>0</v>
      </c>
      <c r="AA239" s="1376"/>
      <c r="AB239" s="1377">
        <f>IF(AA230="V",1,IF(AA238="V",1,0))</f>
        <v>0</v>
      </c>
      <c r="AD239" s="10">
        <f>X239</f>
        <v>0</v>
      </c>
      <c r="AE239" s="10">
        <f>Z239</f>
        <v>0</v>
      </c>
      <c r="AF239" s="10">
        <f>AB239</f>
        <v>0</v>
      </c>
      <c r="AG239" s="1741">
        <f>IF($W238="F",AG234,AG234+AG238)</f>
        <v>0</v>
      </c>
      <c r="AH239" s="1741">
        <f>IF($Y238="F",AH234,AH234+AH238)</f>
        <v>0</v>
      </c>
      <c r="AI239" s="1741">
        <f>IF(AND($AA230="V",$AA238="F"),AI230,IF(AND($AA230="F",$AA238="V"),AI238,IF(AND($AA230="V",$AA238="V"),AI230+AI238,0)))</f>
        <v>0</v>
      </c>
      <c r="AJ239" s="1741">
        <f>IF($W238="F",AJ234,AJ234+AJ238)</f>
        <v>0</v>
      </c>
      <c r="AK239" s="1741">
        <f t="shared" ref="AK239" si="442">IF($W238="F",AK234,AK234+AK238)</f>
        <v>0</v>
      </c>
      <c r="AL239" s="1741">
        <f t="shared" ref="AL239" si="443">IF($Y238="F",AL234,AL234+AL238)</f>
        <v>0</v>
      </c>
      <c r="AM239" s="1741">
        <f t="shared" ref="AM239" si="444">IF($Y238="F",AM234,AM234+AM238)</f>
        <v>0</v>
      </c>
      <c r="AN239" s="1741">
        <f t="shared" ref="AN239" si="445">IF(AND($AA230="V",$AA238="F"),AN230,IF(AND($AA230="F",$AA238="V"),AN238,IF(AND($AA230="V",$AA238="V"),AN230+AN238,0)))</f>
        <v>0</v>
      </c>
      <c r="AO239" s="1741">
        <f t="shared" ref="AO239" si="446">IF(AND($AA230="V",$AA238="F"),AO230,IF(AND($AA230="F",$AA238="V"),AO238,IF(AND($AA230="V",$AA238="V"),AO230+AO238,0)))</f>
        <v>0</v>
      </c>
      <c r="AY239" s="734"/>
      <c r="AZ239" s="734"/>
      <c r="BA239" s="87"/>
      <c r="BB239" s="442"/>
      <c r="BC239" s="89"/>
      <c r="BD239" s="446"/>
      <c r="BE239" s="446"/>
      <c r="BF239" s="89"/>
      <c r="BG239" s="447"/>
      <c r="BH239" s="447"/>
      <c r="BI239" s="443"/>
    </row>
    <row r="240" spans="1:78" x14ac:dyDescent="0.3">
      <c r="D240" s="16"/>
      <c r="E240" s="16"/>
      <c r="F240" s="67"/>
      <c r="G240" s="438"/>
      <c r="H240" s="438"/>
      <c r="I240" s="1344"/>
      <c r="J240" s="1345"/>
      <c r="K240" s="1346"/>
      <c r="L240" s="2603"/>
      <c r="M240" s="2603"/>
      <c r="N240" s="2603"/>
      <c r="O240" s="1347"/>
      <c r="P240" s="1364"/>
      <c r="Q240" s="1346"/>
      <c r="R240" s="1347"/>
      <c r="S240" s="1364"/>
      <c r="T240" s="1346"/>
      <c r="U240" s="1347"/>
      <c r="V240" s="145"/>
      <c r="W240" s="1387"/>
      <c r="X240" s="1388"/>
      <c r="Y240" s="1231"/>
      <c r="Z240" s="1231"/>
      <c r="AA240" s="1231"/>
      <c r="AB240" s="1231"/>
      <c r="AD240" s="10"/>
      <c r="AE240" s="10"/>
      <c r="AF240" s="10"/>
      <c r="AY240" s="734"/>
      <c r="AZ240" s="734"/>
      <c r="BA240" s="87"/>
      <c r="BB240" s="442"/>
      <c r="BC240" s="89"/>
      <c r="BD240" s="446"/>
      <c r="BE240" s="446"/>
      <c r="BF240" s="89"/>
      <c r="BG240" s="447"/>
      <c r="BH240" s="447"/>
      <c r="BI240" s="443"/>
    </row>
    <row r="241" spans="1:78" x14ac:dyDescent="0.3">
      <c r="B241" s="1699">
        <v>11</v>
      </c>
      <c r="D241" s="441" t="str">
        <f>'Cpts AR +indép + Sommaire'!B37</f>
        <v>La nouvelle famille est "LA vraie"</v>
      </c>
      <c r="E241" s="84"/>
      <c r="F241" s="50"/>
      <c r="G241" s="18"/>
      <c r="H241" s="18"/>
      <c r="I241" s="2595" t="s">
        <v>604</v>
      </c>
      <c r="J241" s="2596"/>
      <c r="K241" s="2596"/>
      <c r="L241" s="2597" t="s">
        <v>1086</v>
      </c>
      <c r="M241" s="2597"/>
      <c r="N241" s="2597"/>
      <c r="O241" s="2598"/>
      <c r="P241" s="2599" t="s">
        <v>603</v>
      </c>
      <c r="Q241" s="2600"/>
      <c r="R241" s="2601"/>
      <c r="S241" s="2590" t="s">
        <v>605</v>
      </c>
      <c r="T241" s="2591"/>
      <c r="U241" s="2592"/>
      <c r="V241" s="15"/>
      <c r="W241" s="817"/>
      <c r="X241" s="817"/>
      <c r="Y241" s="817"/>
      <c r="Z241" s="817"/>
      <c r="AA241" s="817"/>
      <c r="AB241" s="818"/>
      <c r="AD241" s="10"/>
      <c r="AE241" s="10"/>
      <c r="AF241" s="10"/>
      <c r="AG241" s="1386" t="s">
        <v>604</v>
      </c>
      <c r="AH241" s="1386" t="s">
        <v>603</v>
      </c>
      <c r="AI241" s="1386" t="s">
        <v>605</v>
      </c>
      <c r="AJ241" s="2589" t="s">
        <v>604</v>
      </c>
      <c r="AK241" s="2589"/>
      <c r="AL241" s="2589" t="s">
        <v>603</v>
      </c>
      <c r="AM241" s="2589"/>
      <c r="AN241" s="2589" t="s">
        <v>605</v>
      </c>
      <c r="AO241" s="2589"/>
      <c r="AY241" s="734"/>
      <c r="AZ241" s="734"/>
      <c r="BA241" s="87"/>
      <c r="BB241" s="442"/>
      <c r="BC241" s="89"/>
      <c r="BD241" s="446"/>
      <c r="BE241" s="446"/>
      <c r="BF241" s="89"/>
      <c r="BG241" s="447"/>
      <c r="BH241" s="447"/>
      <c r="BI241" s="443"/>
    </row>
    <row r="242" spans="1:78" ht="36" x14ac:dyDescent="0.3">
      <c r="D242" s="79" t="s">
        <v>779</v>
      </c>
      <c r="E242" s="835" t="s">
        <v>778</v>
      </c>
      <c r="F242" s="26" t="s">
        <v>226</v>
      </c>
      <c r="G242" s="26" t="s">
        <v>22</v>
      </c>
      <c r="H242" s="26" t="s">
        <v>612</v>
      </c>
      <c r="I242" s="1348" t="s">
        <v>269</v>
      </c>
      <c r="J242" s="29" t="s">
        <v>270</v>
      </c>
      <c r="K242" s="29" t="s">
        <v>271</v>
      </c>
      <c r="L242" s="29" t="s">
        <v>363</v>
      </c>
      <c r="M242" s="29" t="s">
        <v>339</v>
      </c>
      <c r="N242" s="29" t="s">
        <v>340</v>
      </c>
      <c r="O242" s="1349" t="s">
        <v>341</v>
      </c>
      <c r="P242" s="1348" t="s">
        <v>269</v>
      </c>
      <c r="Q242" s="29" t="s">
        <v>270</v>
      </c>
      <c r="R242" s="1349" t="s">
        <v>271</v>
      </c>
      <c r="S242" s="1348" t="s">
        <v>269</v>
      </c>
      <c r="T242" s="29" t="s">
        <v>270</v>
      </c>
      <c r="U242" s="1349" t="s">
        <v>271</v>
      </c>
      <c r="V242" s="736"/>
      <c r="W242" s="827" t="s">
        <v>604</v>
      </c>
      <c r="X242" s="828" t="s">
        <v>754</v>
      </c>
      <c r="Y242" s="827" t="s">
        <v>603</v>
      </c>
      <c r="Z242" s="828" t="s">
        <v>755</v>
      </c>
      <c r="AA242" s="827" t="s">
        <v>605</v>
      </c>
      <c r="AB242" s="828" t="s">
        <v>756</v>
      </c>
      <c r="AD242" s="10"/>
      <c r="AE242" s="10"/>
      <c r="AF242" s="10"/>
      <c r="AG242" s="10"/>
      <c r="AH242" s="10"/>
      <c r="AI242" s="10"/>
      <c r="AJ242" s="1490" t="s">
        <v>1058</v>
      </c>
      <c r="AK242" s="1490" t="s">
        <v>1059</v>
      </c>
      <c r="AL242" s="1490" t="s">
        <v>1058</v>
      </c>
      <c r="AM242" s="1490" t="s">
        <v>1059</v>
      </c>
      <c r="AN242" s="1490" t="s">
        <v>1058</v>
      </c>
      <c r="AO242" s="1490" t="s">
        <v>1059</v>
      </c>
      <c r="AY242" s="734"/>
      <c r="AZ242" s="734"/>
      <c r="BA242" s="87"/>
      <c r="BB242" s="442"/>
      <c r="BC242" s="89"/>
      <c r="BD242" s="446"/>
      <c r="BE242" s="446"/>
      <c r="BF242" s="89"/>
      <c r="BG242" s="447"/>
      <c r="BH242" s="447"/>
      <c r="BI242" s="443"/>
    </row>
    <row r="243" spans="1:78" ht="34" x14ac:dyDescent="0.2">
      <c r="A243" t="str">
        <f>IF(Test_Bible!B191="","F","O")</f>
        <v>O</v>
      </c>
      <c r="B243" s="1700" t="str">
        <f>'Cpts AR +indép + Sommaire'!G37</f>
        <v>Dénigrement</v>
      </c>
      <c r="C243" s="379" t="str">
        <f>'Cpts AR +indép + Sommaire'!C37</f>
        <v>PFA15</v>
      </c>
      <c r="D243" s="25" t="str">
        <f>'Cpts AR +indép + Sommaire'!D37</f>
        <v>L'autre parent laisse entendre qu'il ou elle représente la vraie famille de votre enfant.</v>
      </c>
      <c r="E243" s="78" t="s">
        <v>633</v>
      </c>
      <c r="F243" s="709">
        <f>'Cpts AR +indép + Sommaire'!E37</f>
        <v>2</v>
      </c>
      <c r="G243" s="709">
        <f>'Cpts AR +indép + Sommaire'!F37</f>
        <v>2</v>
      </c>
      <c r="H243" s="709">
        <f>F243*G243</f>
        <v>4</v>
      </c>
      <c r="I243" s="1350">
        <v>4</v>
      </c>
      <c r="J243" s="1343">
        <v>10</v>
      </c>
      <c r="K243" s="31" t="b">
        <f>IF(AND(F243&gt;=I243,F243&lt;=J243),TRUE,FALSE)</f>
        <v>0</v>
      </c>
      <c r="L243" s="31"/>
      <c r="M243" s="31"/>
      <c r="N243" s="31"/>
      <c r="O243" s="1351"/>
      <c r="P243" s="1350">
        <v>2</v>
      </c>
      <c r="Q243" s="1343">
        <v>4</v>
      </c>
      <c r="R243" s="1351" t="b">
        <f>IF(AND(F243&gt;=P243,F243&lt;=Q243),TRUE,FALSE)</f>
        <v>1</v>
      </c>
      <c r="S243" s="1350">
        <v>4</v>
      </c>
      <c r="T243" s="1343">
        <v>7</v>
      </c>
      <c r="U243" s="1351" t="b">
        <f>IF(AND(F243&gt;=S243,F243&lt;=T243),TRUE,FALSE)</f>
        <v>0</v>
      </c>
      <c r="V243" s="807"/>
      <c r="W243" s="819"/>
      <c r="X243" s="820"/>
      <c r="Y243" s="819"/>
      <c r="Z243" s="820"/>
      <c r="AA243" s="819"/>
      <c r="AB243" s="820"/>
      <c r="AD243" s="10"/>
      <c r="AE243" s="10"/>
      <c r="AF243" s="10"/>
      <c r="AG243" s="832">
        <f>IF($K243=TRUE,H243,0)</f>
        <v>0</v>
      </c>
      <c r="AH243" s="832">
        <f>IF($R243=TRUE,H243,0)</f>
        <v>4</v>
      </c>
      <c r="AI243" s="832">
        <f>IF($U243=TRUE,H243,0)</f>
        <v>0</v>
      </c>
      <c r="AJ243" s="1490">
        <f t="shared" ref="AJ243:AJ244" si="447">IF(OR(I243=11,A243="F"),0,G243*I243)</f>
        <v>8</v>
      </c>
      <c r="AK243" s="1490">
        <f t="shared" ref="AK243:AK244" si="448">IF(OR(J243=11,A243="F"),0,G243*J243)</f>
        <v>20</v>
      </c>
      <c r="AL243" s="1490">
        <f t="shared" ref="AL243:AL244" si="449">IF(OR(P243=11,A243="F"),0,G243*P243)</f>
        <v>4</v>
      </c>
      <c r="AM243" s="1490">
        <f t="shared" ref="AM243:AM244" si="450">IF(OR(Q243=11,A243="F"),0,G243*Q243)</f>
        <v>8</v>
      </c>
      <c r="AN243" s="1490">
        <f t="shared" ref="AN243:AN244" si="451">IF(OR(S243=11,A243="F"),0,S243*G243)</f>
        <v>8</v>
      </c>
      <c r="AO243" s="1490">
        <f t="shared" ref="AO243:AO244" si="452">IF(OR(T243=11,A243="F"),0,T243*G243)</f>
        <v>14</v>
      </c>
      <c r="AY243" s="734"/>
      <c r="AZ243" s="734"/>
      <c r="BA243" s="87"/>
      <c r="BB243" s="442"/>
      <c r="BC243" s="89"/>
      <c r="BD243" s="446"/>
      <c r="BE243" s="446"/>
      <c r="BF243" s="89"/>
      <c r="BG243" s="447"/>
      <c r="BH243" s="447"/>
      <c r="BI243" s="443"/>
    </row>
    <row r="244" spans="1:78" ht="19" x14ac:dyDescent="0.2">
      <c r="B244" s="1531"/>
      <c r="C244" s="379" t="s">
        <v>260</v>
      </c>
      <c r="D244" s="25"/>
      <c r="E244" s="78"/>
      <c r="F244" s="709"/>
      <c r="G244" s="708"/>
      <c r="H244" s="709">
        <f>F244*G244</f>
        <v>0</v>
      </c>
      <c r="I244" s="1374">
        <v>11</v>
      </c>
      <c r="J244" s="1375">
        <v>11</v>
      </c>
      <c r="K244" s="31" t="b">
        <f>IF(AND(F244&gt;=I244,F244&lt;=J244),TRUE,FALSE)</f>
        <v>0</v>
      </c>
      <c r="L244" s="31"/>
      <c r="M244" s="31"/>
      <c r="N244" s="31"/>
      <c r="O244" s="1351"/>
      <c r="P244" s="1374">
        <v>11</v>
      </c>
      <c r="Q244" s="1375">
        <v>11</v>
      </c>
      <c r="R244" s="1351" t="b">
        <f>IF(AND(F244&gt;=P244,F244&lt;=Q244),TRUE,FALSE)</f>
        <v>0</v>
      </c>
      <c r="S244" s="1374">
        <v>11</v>
      </c>
      <c r="T244" s="1375">
        <v>11</v>
      </c>
      <c r="U244" s="1351" t="b">
        <f>IF(AND(F244&gt;=S244,F244&lt;=T244),TRUE,FALSE)</f>
        <v>0</v>
      </c>
      <c r="V244" s="807"/>
      <c r="W244" s="821"/>
      <c r="X244" s="822"/>
      <c r="Y244" s="821"/>
      <c r="Z244" s="822"/>
      <c r="AA244" s="821"/>
      <c r="AB244" s="822"/>
      <c r="AD244" s="10"/>
      <c r="AE244" s="10"/>
      <c r="AF244" s="10"/>
      <c r="AG244" s="832">
        <f>IF($K244=TRUE,H244,0)</f>
        <v>0</v>
      </c>
      <c r="AH244" s="832">
        <f>IF($R244=TRUE,H244,0)</f>
        <v>0</v>
      </c>
      <c r="AI244" s="832">
        <f>IF($U244=TRUE,H244,0)</f>
        <v>0</v>
      </c>
      <c r="AJ244" s="1490">
        <f t="shared" si="447"/>
        <v>0</v>
      </c>
      <c r="AK244" s="1490">
        <f t="shared" si="448"/>
        <v>0</v>
      </c>
      <c r="AL244" s="1490">
        <f t="shared" si="449"/>
        <v>0</v>
      </c>
      <c r="AM244" s="1490">
        <f t="shared" si="450"/>
        <v>0</v>
      </c>
      <c r="AN244" s="1490">
        <f t="shared" si="451"/>
        <v>0</v>
      </c>
      <c r="AO244" s="1490">
        <f t="shared" si="452"/>
        <v>0</v>
      </c>
      <c r="AY244" s="734"/>
      <c r="AZ244" s="734"/>
      <c r="BA244" s="87"/>
      <c r="BB244" s="442"/>
      <c r="BC244" s="89"/>
      <c r="BD244" s="446"/>
      <c r="BE244" s="446"/>
      <c r="BF244" s="89"/>
      <c r="BG244" s="447"/>
      <c r="BH244" s="447"/>
      <c r="BI244" s="443"/>
    </row>
    <row r="245" spans="1:78" ht="34" x14ac:dyDescent="0.2">
      <c r="B245" s="1702"/>
      <c r="C245" s="710" t="s">
        <v>609</v>
      </c>
      <c r="D245" s="711" t="str">
        <f>_xlfn.XLOOKUP(H245,H243:H244,D243:D244)</f>
        <v>L'autre parent laisse entendre qu'il ou elle représente la vraie famille de votre enfant.</v>
      </c>
      <c r="E245" s="712" t="str">
        <f>_xlfn.XLOOKUP(H245,H243:H244,E243:E244)</f>
        <v>laisse entendre que la vraie famille est celle de l'autre parent</v>
      </c>
      <c r="F245" s="713"/>
      <c r="G245" s="713"/>
      <c r="H245" s="713">
        <f>IF(AND(K243=TRUE,K244=FALSE),H243,IF(AND(K243=FALSE,K244=TRUE),H244,MAX(H243,H244)))</f>
        <v>4</v>
      </c>
      <c r="I245" s="1352"/>
      <c r="J245" s="714"/>
      <c r="K245" s="715" t="b">
        <f>IF(AND(K243=FALSE,K244=FALSE),FALSE,TRUE)</f>
        <v>0</v>
      </c>
      <c r="L245" s="31"/>
      <c r="M245" s="31"/>
      <c r="N245" s="31"/>
      <c r="O245" s="1351"/>
      <c r="P245" s="1352"/>
      <c r="Q245" s="714"/>
      <c r="R245" s="1365" t="b">
        <f>IF(AND(R243=FALSE,R244=FALSE),FALSE,TRUE)</f>
        <v>1</v>
      </c>
      <c r="S245" s="1352"/>
      <c r="T245" s="714"/>
      <c r="U245" s="1365" t="b">
        <f>IF(AND(U243=FALSE,U244=FALSE),FALSE,TRUE)</f>
        <v>0</v>
      </c>
      <c r="V245" s="807"/>
      <c r="W245" s="821"/>
      <c r="X245" s="822"/>
      <c r="Y245" s="821"/>
      <c r="Z245" s="822"/>
      <c r="AA245" s="821"/>
      <c r="AB245" s="822"/>
      <c r="AD245" s="10"/>
      <c r="AE245" s="10"/>
      <c r="AF245" s="10"/>
      <c r="AG245" s="1740">
        <f>IF($K245=TRUE,MAX(AG243:AG244),0)</f>
        <v>0</v>
      </c>
      <c r="AH245" s="1740">
        <f>IF($R245=TRUE,MAX(AH243:AH244),0)</f>
        <v>4</v>
      </c>
      <c r="AI245" s="1740">
        <f>IF($U245=TRUE,MAX(AI243:AI244),0)</f>
        <v>0</v>
      </c>
      <c r="AJ245" s="1739">
        <f>MAX(AJ243:AJ244)</f>
        <v>8</v>
      </c>
      <c r="AK245" s="1739">
        <f t="shared" ref="AK245" si="453">MAX(AK243:AK244)</f>
        <v>20</v>
      </c>
      <c r="AL245" s="1739">
        <f t="shared" ref="AL245" si="454">MAX(AL243:AL244)</f>
        <v>4</v>
      </c>
      <c r="AM245" s="1739">
        <f t="shared" ref="AM245" si="455">MAX(AM243:AM244)</f>
        <v>8</v>
      </c>
      <c r="AN245" s="1739">
        <f t="shared" ref="AN245" si="456">MAX(AN243:AN244)</f>
        <v>8</v>
      </c>
      <c r="AO245" s="1739">
        <f t="shared" ref="AO245" si="457">MAX(AO243:AO244)</f>
        <v>14</v>
      </c>
      <c r="AY245" s="734"/>
      <c r="AZ245" s="734"/>
      <c r="BA245" s="87"/>
      <c r="BB245" s="442"/>
      <c r="BC245" s="89"/>
      <c r="BD245" s="446"/>
      <c r="BE245" s="446"/>
      <c r="BF245" s="89"/>
      <c r="BG245" s="447"/>
      <c r="BH245" s="447"/>
      <c r="BI245" s="443"/>
    </row>
    <row r="246" spans="1:78" ht="19" x14ac:dyDescent="0.2">
      <c r="B246" s="1531"/>
      <c r="C246" s="38" t="s">
        <v>242</v>
      </c>
      <c r="D246" s="25"/>
      <c r="E246" s="78"/>
      <c r="F246" s="709"/>
      <c r="G246" s="708"/>
      <c r="H246" s="709">
        <f>F246*G246</f>
        <v>0</v>
      </c>
      <c r="I246" s="1374">
        <v>11</v>
      </c>
      <c r="J246" s="1375">
        <v>11</v>
      </c>
      <c r="K246" s="31" t="b">
        <f>IF(AND(F246&gt;=I246,F246&lt;=J246),TRUE,FALSE)</f>
        <v>0</v>
      </c>
      <c r="L246" s="31"/>
      <c r="M246" s="31"/>
      <c r="N246" s="31"/>
      <c r="O246" s="1351"/>
      <c r="P246" s="1374">
        <v>11</v>
      </c>
      <c r="Q246" s="1375">
        <v>11</v>
      </c>
      <c r="R246" s="1351" t="b">
        <f>IF(AND(F246&gt;=P246,F246&lt;=Q246),TRUE,FALSE)</f>
        <v>0</v>
      </c>
      <c r="S246" s="1374">
        <v>11</v>
      </c>
      <c r="T246" s="1375">
        <v>11</v>
      </c>
      <c r="U246" s="1351" t="b">
        <f>IF(AND(F246&gt;=S246,F246&lt;=T246),TRUE,FALSE)</f>
        <v>0</v>
      </c>
      <c r="V246" s="807"/>
      <c r="W246" s="821"/>
      <c r="X246" s="822"/>
      <c r="Y246" s="821"/>
      <c r="Z246" s="822"/>
      <c r="AA246" s="821"/>
      <c r="AB246" s="822"/>
      <c r="AD246" s="10"/>
      <c r="AE246" s="10"/>
      <c r="AF246" s="10"/>
      <c r="AG246" s="832">
        <f>IF(K246=TRUE,H246,0)</f>
        <v>0</v>
      </c>
      <c r="AH246" s="832">
        <f>IF(R246=TRUE,H246,0)</f>
        <v>0</v>
      </c>
      <c r="AI246" s="832">
        <f>IF(U246=TRUE,H246,0)</f>
        <v>0</v>
      </c>
      <c r="AJ246" s="1490">
        <f t="shared" ref="AJ246:AJ247" si="458">IF(OR(I246=11,A246="F"),0,G246*I246)</f>
        <v>0</v>
      </c>
      <c r="AK246" s="1490">
        <f t="shared" ref="AK246:AK247" si="459">IF(OR(J246=11,A246="F"),0,G246*J246)</f>
        <v>0</v>
      </c>
      <c r="AL246" s="1490">
        <f t="shared" ref="AL246:AL247" si="460">IF(OR(P246=11,A246="F"),0,G246*P246)</f>
        <v>0</v>
      </c>
      <c r="AM246" s="1490">
        <f t="shared" ref="AM246:AM247" si="461">IF(OR(Q246=11,A246="F"),0,G246*Q246)</f>
        <v>0</v>
      </c>
      <c r="AN246" s="1490">
        <f t="shared" ref="AN246:AN247" si="462">IF(OR(S246=11,A246="F"),0,S246*G246)</f>
        <v>0</v>
      </c>
      <c r="AO246" s="1490">
        <f t="shared" ref="AO246:AO247" si="463">IF(OR(T246=11,A246="F"),0,T246*G246)</f>
        <v>0</v>
      </c>
      <c r="AY246" s="734"/>
      <c r="AZ246" s="734"/>
      <c r="BA246" s="87"/>
      <c r="BB246" s="442"/>
      <c r="BC246" s="89"/>
      <c r="BD246" s="446"/>
      <c r="BE246" s="446"/>
      <c r="BF246" s="89"/>
      <c r="BG246" s="447"/>
      <c r="BH246" s="447"/>
      <c r="BI246" s="443"/>
    </row>
    <row r="247" spans="1:78" ht="19" x14ac:dyDescent="0.2">
      <c r="B247" s="1700"/>
      <c r="C247" s="38" t="s">
        <v>242</v>
      </c>
      <c r="D247" s="25"/>
      <c r="E247" s="48"/>
      <c r="F247" s="27"/>
      <c r="G247" s="27"/>
      <c r="H247" s="27">
        <f>F247*G247</f>
        <v>0</v>
      </c>
      <c r="I247" s="1374">
        <v>11</v>
      </c>
      <c r="J247" s="1375">
        <v>11</v>
      </c>
      <c r="K247" s="31" t="b">
        <f>IF(AND(F247&gt;=I247,F247&lt;=J247),TRUE,FALSE)</f>
        <v>0</v>
      </c>
      <c r="L247" s="31"/>
      <c r="M247" s="31"/>
      <c r="N247" s="31"/>
      <c r="O247" s="1351"/>
      <c r="P247" s="1374">
        <v>11</v>
      </c>
      <c r="Q247" s="1375">
        <v>11</v>
      </c>
      <c r="R247" s="1351" t="b">
        <f>IF(AND(F247&gt;=P247,F247&lt;=Q247),TRUE,FALSE)</f>
        <v>0</v>
      </c>
      <c r="S247" s="1374">
        <v>11</v>
      </c>
      <c r="T247" s="1375">
        <v>11</v>
      </c>
      <c r="U247" s="1351" t="b">
        <f>IF(AND(F247&gt;=S247,F247&lt;=T247),TRUE,FALSE)</f>
        <v>0</v>
      </c>
      <c r="V247" s="807"/>
      <c r="W247" s="821"/>
      <c r="X247" s="822"/>
      <c r="Y247" s="821"/>
      <c r="Z247" s="822"/>
      <c r="AA247" s="821"/>
      <c r="AB247" s="822"/>
      <c r="AD247" s="10"/>
      <c r="AE247" s="10"/>
      <c r="AF247" s="10"/>
      <c r="AG247" s="832">
        <f>IF(K247=TRUE,H247,0)</f>
        <v>0</v>
      </c>
      <c r="AH247" s="832">
        <f>IF(R247=TRUE,H247,0)</f>
        <v>0</v>
      </c>
      <c r="AI247" s="832">
        <f>IF(U247=TRUE,H247,0)</f>
        <v>0</v>
      </c>
      <c r="AJ247" s="1490">
        <f t="shared" si="458"/>
        <v>0</v>
      </c>
      <c r="AK247" s="1490">
        <f t="shared" si="459"/>
        <v>0</v>
      </c>
      <c r="AL247" s="1490">
        <f t="shared" si="460"/>
        <v>0</v>
      </c>
      <c r="AM247" s="1490">
        <f t="shared" si="461"/>
        <v>0</v>
      </c>
      <c r="AN247" s="1490">
        <f t="shared" si="462"/>
        <v>0</v>
      </c>
      <c r="AO247" s="1490">
        <f t="shared" si="463"/>
        <v>0</v>
      </c>
      <c r="AV247" s="7"/>
      <c r="AX247" s="7"/>
      <c r="AY247" s="734"/>
      <c r="AZ247" s="734"/>
      <c r="BA247" s="87"/>
      <c r="BB247" s="442"/>
      <c r="BC247" s="89"/>
      <c r="BD247" s="446"/>
      <c r="BE247" s="446"/>
      <c r="BF247" s="89"/>
      <c r="BG247" s="447"/>
      <c r="BH247" s="447"/>
      <c r="BI247" s="443"/>
      <c r="BN247" s="25"/>
      <c r="BP247" s="7"/>
      <c r="BQ247" s="7"/>
      <c r="BR247" s="7"/>
      <c r="BS247" s="7"/>
      <c r="BT247" s="7"/>
      <c r="BU247" s="7"/>
      <c r="BV247" s="7"/>
      <c r="BW247" s="7"/>
      <c r="BX247" s="7"/>
      <c r="BY247" s="7"/>
      <c r="BZ247" s="7"/>
    </row>
    <row r="248" spans="1:78" ht="20" thickBot="1" x14ac:dyDescent="0.25">
      <c r="B248" s="1700"/>
      <c r="C248" s="716" t="s">
        <v>610</v>
      </c>
      <c r="D248" s="717">
        <f>_xlfn.XLOOKUP(H248,H246:H247,D246:D247)</f>
        <v>0</v>
      </c>
      <c r="E248" s="718">
        <f>_xlfn.XLOOKUP(H248,H246:H247,E246:E247)</f>
        <v>0</v>
      </c>
      <c r="F248" s="719"/>
      <c r="G248" s="719"/>
      <c r="H248" s="713">
        <f>IF(AND(K246=TRUE,K247=FALSE),H246,IF(AND(K246=FALSE,K247=TRUE),H247,MAX(H246,H247)))</f>
        <v>0</v>
      </c>
      <c r="I248" s="1353"/>
      <c r="J248" s="720"/>
      <c r="K248" s="721" t="b">
        <f>IF(AND(K246=FALSE,K247=FALSE),FALSE,TRUE)</f>
        <v>0</v>
      </c>
      <c r="L248" s="31"/>
      <c r="M248" s="31"/>
      <c r="N248" s="31"/>
      <c r="O248" s="1351"/>
      <c r="P248" s="1353"/>
      <c r="Q248" s="720"/>
      <c r="R248" s="1366" t="b">
        <f>IF(AND(R246=FALSE,R247=FALSE),FALSE,TRUE)</f>
        <v>0</v>
      </c>
      <c r="S248" s="1353"/>
      <c r="T248" s="720"/>
      <c r="U248" s="1366" t="b">
        <f>IF(AND(U246=FALSE,U247=FALSE),FALSE,TRUE)</f>
        <v>0</v>
      </c>
      <c r="V248" s="807"/>
      <c r="W248" s="821"/>
      <c r="X248" s="822"/>
      <c r="Y248" s="821"/>
      <c r="Z248" s="822"/>
      <c r="AA248" s="821"/>
      <c r="AB248" s="822"/>
      <c r="AD248" s="10"/>
      <c r="AE248" s="10"/>
      <c r="AF248" s="10"/>
      <c r="AG248" s="1740">
        <f>IF($K248=TRUE,MAX(AG246:AG247),0)</f>
        <v>0</v>
      </c>
      <c r="AH248" s="1740">
        <f>IF($R248=TRUE,MAX(AH246:AH247),0)</f>
        <v>0</v>
      </c>
      <c r="AI248" s="1740">
        <f>IF($U248=TRUE,MAX(AI246:AI247),0)</f>
        <v>0</v>
      </c>
      <c r="AJ248" s="1739">
        <f>MAX(AJ246:AJ247)</f>
        <v>0</v>
      </c>
      <c r="AK248" s="1739">
        <f t="shared" ref="AK248" si="464">MAX(AK246:AK247)</f>
        <v>0</v>
      </c>
      <c r="AL248" s="1739">
        <f t="shared" ref="AL248" si="465">MAX(AL246:AL247)</f>
        <v>0</v>
      </c>
      <c r="AM248" s="1739">
        <f t="shared" ref="AM248" si="466">MAX(AM246:AM247)</f>
        <v>0</v>
      </c>
      <c r="AN248" s="1739">
        <f t="shared" ref="AN248" si="467">MAX(AN246:AN247)</f>
        <v>0</v>
      </c>
      <c r="AO248" s="1739">
        <f t="shared" ref="AO248" si="468">MAX(AO246:AO247)</f>
        <v>0</v>
      </c>
      <c r="AV248" s="7"/>
      <c r="AX248" s="7"/>
      <c r="AY248" s="734"/>
      <c r="AZ248" s="734"/>
      <c r="BA248" s="87"/>
      <c r="BB248" s="442"/>
      <c r="BC248" s="89"/>
      <c r="BD248" s="446"/>
      <c r="BE248" s="446"/>
      <c r="BF248" s="89"/>
      <c r="BG248" s="447"/>
      <c r="BH248" s="447"/>
      <c r="BI248" s="443"/>
      <c r="BN248" s="25"/>
      <c r="BP248" s="7"/>
      <c r="BQ248" s="7"/>
      <c r="BR248" s="7"/>
      <c r="BS248" s="7"/>
      <c r="BT248" s="7"/>
      <c r="BU248" s="7"/>
      <c r="BV248" s="7"/>
      <c r="BW248" s="7"/>
      <c r="BX248" s="7"/>
      <c r="BY248" s="7"/>
      <c r="BZ248" s="7"/>
    </row>
    <row r="249" spans="1:78" ht="35" thickBot="1" x14ac:dyDescent="0.25">
      <c r="B249" s="1700"/>
      <c r="C249" s="722" t="s">
        <v>616</v>
      </c>
      <c r="D249" s="723"/>
      <c r="E249" s="723" t="str">
        <f>IF(H249=H245,E245,E248)</f>
        <v>laisse entendre que la vraie famille est celle de l'autre parent</v>
      </c>
      <c r="F249" s="724"/>
      <c r="G249" s="724"/>
      <c r="H249" s="724">
        <f>IF(AND(K245=TRUE,K248=FALSE),H245,IF(AND(K245=FALSE,K248=TRUE),H248,IF(AND(K245=TRUE,K248=TRUE),H245+H248,MAX(H245,H248))))</f>
        <v>4</v>
      </c>
      <c r="I249" s="1354"/>
      <c r="J249" s="725"/>
      <c r="K249" s="726" t="b">
        <f>IF(AND(K245=FALSE,K248=FALSE),FALSE,TRUE)</f>
        <v>0</v>
      </c>
      <c r="L249" s="1338"/>
      <c r="M249" s="1338"/>
      <c r="N249" s="1338"/>
      <c r="O249" s="1355"/>
      <c r="P249" s="1354"/>
      <c r="Q249" s="725"/>
      <c r="R249" s="726" t="b">
        <f>IF(AND(R245=FALSE,R248=FALSE),FALSE,TRUE)</f>
        <v>1</v>
      </c>
      <c r="S249" s="1354"/>
      <c r="T249" s="725"/>
      <c r="U249" s="726" t="b">
        <f>IF(AND(U245=FALSE,U248=FALSE),FALSE,TRUE)</f>
        <v>0</v>
      </c>
      <c r="V249" s="807"/>
      <c r="W249" s="821" t="str">
        <f>IF(K249=TRUE,"V","F")</f>
        <v>F</v>
      </c>
      <c r="X249" s="822"/>
      <c r="Y249" s="821" t="str">
        <f>IF(R249=TRUE,"V","F")</f>
        <v>V</v>
      </c>
      <c r="Z249" s="822"/>
      <c r="AA249" s="821" t="str">
        <f>IF(U249=TRUE,"V","F")</f>
        <v>F</v>
      </c>
      <c r="AB249" s="822"/>
      <c r="AC249" t="str">
        <f>IF(OR(W249="V",Y249="V"),IF(H248&gt;H245,"Le NC contribue plus que le coparent","Le coparent joue un plus grand rôle que le NC"),"pas de contexte significatif de la part du coparent et NC")</f>
        <v>Le coparent joue un plus grand rôle que le NC</v>
      </c>
      <c r="AD249" s="10"/>
      <c r="AE249" s="10"/>
      <c r="AF249" s="10"/>
      <c r="AG249" s="591">
        <f>IF(AND($K245=TRUE,$K248=FALSE),AG245,IF(AND($K245=FALSE,$K248=TRUE),AG248,IF(AND($K245=TRUE,$K248=TRUE),AG245+AG248,0)))</f>
        <v>0</v>
      </c>
      <c r="AH249" s="591">
        <f>IF(AND($R245=TRUE,$R248=FALSE),AH245,IF(AND($R245=FALSE,$R248=TRUE),AH248,IF(AND($R245=TRUE,$R248=TRUE),AH245+AH248,0)))</f>
        <v>4</v>
      </c>
      <c r="AI249" s="591">
        <f>IF(AND($U245=TRUE,$U248=FALSE),AI245,IF(AND($U245=FALSE,$U248=TRUE),AI248,IF(AND($U245=TRUE,$U248=TRUE),AI245+AI248,0)))</f>
        <v>0</v>
      </c>
      <c r="AJ249" s="591">
        <f>IF(AND($K245=TRUE,$K248=FALSE),AJ245,IF(AND($K245=FALSE,$K248=TRUE),AJ248,IF(AND($K245=TRUE,$K248=TRUE),AJ245+AJ248,MAX(AJ245,AJ248))))</f>
        <v>8</v>
      </c>
      <c r="AK249" s="591">
        <f>IF(AND($K245=TRUE,$K248=FALSE),AK245,IF(AND($K245=FALSE,$K248=TRUE),AK248,IF(AND($K245=TRUE,$K248=TRUE),AK245+AK248,MAX(AK245,AK248))))</f>
        <v>20</v>
      </c>
      <c r="AL249" s="591">
        <f t="shared" ref="AL249" si="469">IF(AND($R245=TRUE,$R248=FALSE),AL245,IF(AND($R245=FALSE,$R248=TRUE),AL248,IF(AND($R245=TRUE,$R248=TRUE),AL245+AL248,MAX(AL245,AL248))))</f>
        <v>4</v>
      </c>
      <c r="AM249" s="591">
        <f t="shared" ref="AM249" si="470">IF(AND($R245=TRUE,$R248=FALSE),AM245,IF(AND($R245=FALSE,$R248=TRUE),AM248,IF(AND($R245=TRUE,$R248=TRUE),AM245+AM248,MAX(AM245,AM248))))</f>
        <v>8</v>
      </c>
      <c r="AN249" s="591">
        <f t="shared" ref="AN249" si="471">IF(AND($U245=TRUE,$U248=FALSE),AN245,IF(AND($U245=FALSE,$U248=TRUE),AN248,IF(AND($U245=TRUE,$U248=TRUE),AN245+AN248,MAX(AN245,AN248))))</f>
        <v>8</v>
      </c>
      <c r="AO249" s="591">
        <f t="shared" ref="AO249" si="472">IF(AND($U245=TRUE,$U248=FALSE),AO245,IF(AND($U245=FALSE,$U248=TRUE),AO248,IF(AND($U245=TRUE,$U248=TRUE),AO245+AO248,MAX(AO245,AO248))))</f>
        <v>14</v>
      </c>
      <c r="AV249" s="7"/>
      <c r="AX249" s="7"/>
      <c r="AY249" s="734"/>
      <c r="AZ249" s="734"/>
      <c r="BA249" s="87"/>
      <c r="BB249" s="442"/>
      <c r="BC249" s="89"/>
      <c r="BD249" s="446"/>
      <c r="BE249" s="446"/>
      <c r="BF249" s="89"/>
      <c r="BG249" s="447"/>
      <c r="BH249" s="447"/>
      <c r="BI249" s="443"/>
      <c r="BN249" s="25"/>
      <c r="BP249" s="7"/>
      <c r="BQ249" s="7"/>
      <c r="BR249" s="7"/>
      <c r="BS249" s="7"/>
      <c r="BT249" s="7"/>
      <c r="BU249" s="7"/>
      <c r="BV249" s="7"/>
      <c r="BW249" s="7"/>
      <c r="BX249" s="7"/>
      <c r="BY249" s="7"/>
      <c r="BZ249" s="7"/>
    </row>
    <row r="250" spans="1:78" ht="34" x14ac:dyDescent="0.2">
      <c r="A250" t="str">
        <f>IF(Test_Bible!B286="","F","O")</f>
        <v>O</v>
      </c>
      <c r="B250" s="1700" t="str">
        <f>'Cpts AR +indép + Sommaire'!S37</f>
        <v>Dénigrement</v>
      </c>
      <c r="C250" s="287" t="str">
        <f>'Cpts AR +indép + Sommaire'!O37</f>
        <v>E14</v>
      </c>
      <c r="D250" s="25" t="str">
        <f>'Cpts AR +indép + Sommaire'!P37</f>
        <v>Votre enfant laisse entendre que sa vraie famille est celle avec l’autre parent.</v>
      </c>
      <c r="E250" s="78" t="s">
        <v>633</v>
      </c>
      <c r="F250" s="709">
        <f>'Cpts AR +indép + Sommaire'!Q37</f>
        <v>7</v>
      </c>
      <c r="G250" s="709">
        <f>'Cpts AR +indép + Sommaire'!R37</f>
        <v>2</v>
      </c>
      <c r="H250" s="709">
        <f>F250*G250</f>
        <v>14</v>
      </c>
      <c r="I250" s="1350">
        <v>4</v>
      </c>
      <c r="J250" s="1343">
        <v>10</v>
      </c>
      <c r="K250" s="31" t="b">
        <f>IF(AND(F250&gt;=I250,F250&lt;=J250),TRUE,FALSE)</f>
        <v>1</v>
      </c>
      <c r="L250" s="31"/>
      <c r="M250" s="31"/>
      <c r="N250" s="31"/>
      <c r="O250" s="1351"/>
      <c r="P250" s="1350">
        <v>2</v>
      </c>
      <c r="Q250" s="1343">
        <v>7</v>
      </c>
      <c r="R250" s="1351" t="b">
        <f>IF(AND(F250&gt;=P250,F250&lt;=Q250),TRUE,FALSE)</f>
        <v>1</v>
      </c>
      <c r="S250" s="1350"/>
      <c r="T250" s="1343"/>
      <c r="U250" s="1351"/>
      <c r="V250" s="1327"/>
      <c r="W250" s="821" t="s">
        <v>753</v>
      </c>
      <c r="X250" s="822"/>
      <c r="Y250" s="821"/>
      <c r="Z250" s="822"/>
      <c r="AA250" s="821"/>
      <c r="AB250" s="822"/>
      <c r="AD250" s="10"/>
      <c r="AE250" s="10"/>
      <c r="AF250" s="10"/>
      <c r="AG250" s="832">
        <f>IF($K250=TRUE,H250,0)</f>
        <v>14</v>
      </c>
      <c r="AH250" s="832">
        <f>IF($R250=TRUE,H250,0)</f>
        <v>14</v>
      </c>
      <c r="AI250" s="832"/>
      <c r="AJ250" s="1490">
        <f>IF(OR(I250=11,A250="F"),0,G250*I250)</f>
        <v>8</v>
      </c>
      <c r="AK250" s="1490">
        <f>IF(OR(J250=11,A250="F"),0,G250*J250)</f>
        <v>20</v>
      </c>
      <c r="AL250" s="1490">
        <f>IF(OR(P250=11,A250="F"),0,G250*P250)</f>
        <v>4</v>
      </c>
      <c r="AM250" s="1490">
        <f t="shared" ref="AM250:AM251" si="473">IF(OR(Q250=11,A250="F"),0,G250*Q250)</f>
        <v>14</v>
      </c>
      <c r="AN250" s="1490">
        <f t="shared" ref="AN250:AN251" si="474">IF(OR(S250=11,A250="F"),0,S250*G250)</f>
        <v>0</v>
      </c>
      <c r="AO250" s="1490">
        <f t="shared" ref="AO250:AO251" si="475">IF(OR(T250=11,A250="F"),0,T250*G250)</f>
        <v>0</v>
      </c>
      <c r="AV250" s="7"/>
      <c r="AX250" s="7"/>
      <c r="AY250" s="734"/>
      <c r="AZ250" s="734"/>
      <c r="BA250" s="87"/>
      <c r="BB250" s="442"/>
      <c r="BC250" s="89"/>
      <c r="BD250" s="446"/>
      <c r="BE250" s="446"/>
      <c r="BF250" s="89"/>
      <c r="BG250" s="447"/>
      <c r="BH250" s="447"/>
      <c r="BI250" s="443"/>
      <c r="BN250" s="25"/>
      <c r="BP250" s="7"/>
      <c r="BQ250" s="7"/>
      <c r="BR250" s="7"/>
      <c r="BS250" s="7"/>
      <c r="BT250" s="7"/>
      <c r="BU250" s="7"/>
      <c r="BV250" s="7"/>
      <c r="BW250" s="7"/>
      <c r="BX250" s="7"/>
      <c r="BY250" s="7"/>
      <c r="BZ250" s="7"/>
    </row>
    <row r="251" spans="1:78" ht="35" thickBot="1" x14ac:dyDescent="0.25">
      <c r="A251" t="str">
        <f>IF(Test_Bible!B287="","F","O")</f>
        <v>O</v>
      </c>
      <c r="B251" s="1700" t="str">
        <f>'Cpts AR +indép + Sommaire'!S38</f>
        <v>Dénigrement</v>
      </c>
      <c r="C251" s="287" t="str">
        <f>'Cpts AR +indép + Sommaire'!O38</f>
        <v>E14a</v>
      </c>
      <c r="D251" s="698" t="str">
        <f>'Cpts AR +indép + Sommaire'!P38</f>
        <v xml:space="preserve">Selon votre enfant, la nouvelle famille de l'autre parent (famille recomposée ou non) a plus de valeur que la vôtre. </v>
      </c>
      <c r="E251" s="78" t="s">
        <v>634</v>
      </c>
      <c r="F251" s="709">
        <f>'Cpts AR +indép + Sommaire'!Q38</f>
        <v>2</v>
      </c>
      <c r="G251" s="709">
        <f>'Cpts AR +indép + Sommaire'!R38</f>
        <v>3</v>
      </c>
      <c r="H251" s="709">
        <f>F251*G251</f>
        <v>6</v>
      </c>
      <c r="I251" s="1350">
        <v>7</v>
      </c>
      <c r="J251" s="1343">
        <v>10</v>
      </c>
      <c r="K251" s="31" t="b">
        <f>IF(AND(F251&gt;=I251,F251&lt;=J251),TRUE,FALSE)</f>
        <v>0</v>
      </c>
      <c r="L251" s="31"/>
      <c r="M251" s="31"/>
      <c r="N251" s="31"/>
      <c r="O251" s="1351"/>
      <c r="P251" s="1374">
        <v>11</v>
      </c>
      <c r="Q251" s="1375">
        <v>11</v>
      </c>
      <c r="R251" s="1351" t="b">
        <f>IF(AND(F251&gt;=P251,F251&lt;=Q251),TRUE,FALSE)</f>
        <v>0</v>
      </c>
      <c r="S251" s="1374"/>
      <c r="T251" s="1375"/>
      <c r="U251" s="1351"/>
      <c r="V251" s="807"/>
      <c r="W251" s="821"/>
      <c r="X251" s="822"/>
      <c r="Y251" s="821"/>
      <c r="Z251" s="822"/>
      <c r="AA251" s="821"/>
      <c r="AB251" s="822"/>
      <c r="AD251" s="10"/>
      <c r="AE251" s="10"/>
      <c r="AF251" s="10"/>
      <c r="AG251" s="832">
        <f>IF($K251=TRUE,H251,0)</f>
        <v>0</v>
      </c>
      <c r="AH251" s="832">
        <f>IF($R251=TRUE,H251,0)</f>
        <v>0</v>
      </c>
      <c r="AI251" s="832"/>
      <c r="AJ251" s="1490">
        <f>IF(OR(I251=11,A251="F"),0,G251*I251)</f>
        <v>21</v>
      </c>
      <c r="AK251" s="1490">
        <f t="shared" ref="AK251" si="476">IF(OR(J251=11,A251="F"),0,G251*J251)</f>
        <v>30</v>
      </c>
      <c r="AL251" s="1490">
        <f t="shared" ref="AL251" si="477">IF(OR(P251=11,A251="F"),0,G251*P251)</f>
        <v>0</v>
      </c>
      <c r="AM251" s="1490">
        <f t="shared" si="473"/>
        <v>0</v>
      </c>
      <c r="AN251" s="1490">
        <f t="shared" si="474"/>
        <v>0</v>
      </c>
      <c r="AO251" s="1490">
        <f t="shared" si="475"/>
        <v>0</v>
      </c>
      <c r="AV251" s="7"/>
      <c r="AX251" s="7"/>
      <c r="AY251" s="734"/>
      <c r="AZ251" s="734"/>
      <c r="BA251" s="87"/>
      <c r="BB251" s="442"/>
      <c r="BC251" s="89"/>
      <c r="BD251" s="446"/>
      <c r="BE251" s="446"/>
      <c r="BF251" s="89"/>
      <c r="BG251" s="447"/>
      <c r="BH251" s="447"/>
      <c r="BI251" s="443"/>
      <c r="BN251" s="25"/>
      <c r="BP251" s="7"/>
      <c r="BQ251" s="7"/>
      <c r="BR251" s="7"/>
      <c r="BS251" s="7"/>
      <c r="BT251" s="7"/>
      <c r="BU251" s="7"/>
      <c r="BV251" s="7"/>
      <c r="BW251" s="7"/>
      <c r="BX251" s="7"/>
      <c r="BY251" s="7"/>
      <c r="BZ251" s="7"/>
    </row>
    <row r="252" spans="1:78" ht="35" thickBot="1" x14ac:dyDescent="0.25">
      <c r="B252" s="1700"/>
      <c r="C252" s="727" t="s">
        <v>611</v>
      </c>
      <c r="D252" s="728" t="str">
        <f>_xlfn.XLOOKUP(H252,H250:H251,D250:D251)</f>
        <v>Votre enfant laisse entendre que sa vraie famille est celle avec l’autre parent.</v>
      </c>
      <c r="E252" s="728" t="str">
        <f>_xlfn.XLOOKUP(H252,H250:H251,E250:E251)</f>
        <v>laisse entendre que la vraie famille est celle de l'autre parent</v>
      </c>
      <c r="F252" s="729"/>
      <c r="G252" s="729"/>
      <c r="H252" s="729">
        <f>IF(AND(K250=TRUE,K251=FALSE),H250,IF(AND(K250=FALSE,K251=TRUE),H251,MAX(H250,H251)))</f>
        <v>14</v>
      </c>
      <c r="I252" s="1356"/>
      <c r="J252" s="730"/>
      <c r="K252" s="731" t="b">
        <f>IF(AND(K250=FALSE,K251=FALSE),FALSE,TRUE)</f>
        <v>1</v>
      </c>
      <c r="L252" s="1339"/>
      <c r="M252" s="1339"/>
      <c r="N252" s="1339"/>
      <c r="O252" s="1357"/>
      <c r="P252" s="1356"/>
      <c r="Q252" s="730"/>
      <c r="R252" s="731" t="b">
        <f>IF(AND(R250=FALSE,R251=FALSE),FALSE,TRUE)</f>
        <v>1</v>
      </c>
      <c r="S252" s="1356"/>
      <c r="T252" s="730"/>
      <c r="U252" s="731"/>
      <c r="V252" s="807"/>
      <c r="W252" s="821" t="str">
        <f>IF(K252=TRUE,"V","F")</f>
        <v>V</v>
      </c>
      <c r="X252" s="822"/>
      <c r="Y252" s="821" t="str">
        <f>IF(R252=TRUE,"V","F")</f>
        <v>V</v>
      </c>
      <c r="Z252" s="822"/>
      <c r="AA252" s="821"/>
      <c r="AB252" s="822"/>
      <c r="AD252" s="10"/>
      <c r="AE252" s="10"/>
      <c r="AF252" s="10"/>
      <c r="AG252" s="1742">
        <f>IF(AND($K250=TRUE,$K251=FALSE),AG250,IF(AND($K250=FALSE,$K251=TRUE),AG251,IF(AND($K250=TRUE,$K251=TRUE),MAX(AG250,AG251),0)))</f>
        <v>14</v>
      </c>
      <c r="AH252" s="1742">
        <f>IF(AND($R250=TRUE,$R251=FALSE),AH250,IF(AND($R250=FALSE,$R251=TRUE),AH251,IF(AND($R250=TRUE,$R251=TRUE),MAX(AH250,AH251),0)))</f>
        <v>14</v>
      </c>
      <c r="AI252" s="1742"/>
      <c r="AJ252" s="1742">
        <f>IF(AND($K250=TRUE,$K251=FALSE),AJ250,IF(AND($K250=FALSE,$K251=TRUE),AJ251,IF(AND($K250=TRUE,$K251=TRUE),MAX(AJ250,AJ251),0)))</f>
        <v>8</v>
      </c>
      <c r="AK252" s="1742">
        <f>IF(AND($K250=TRUE,$K251=FALSE),AK250,IF(AND($K250=FALSE,$K251=TRUE),AK251,IF(AND($K250=TRUE,$K251=TRUE),MAX(AK250,AK251),0)))</f>
        <v>20</v>
      </c>
      <c r="AL252" s="1742">
        <f t="shared" ref="AL252" si="478">IF(AND($R250=TRUE,$R251=FALSE),AL250,IF(AND($R250=FALSE,$R251=TRUE),AL251,IF(AND($R250=TRUE,$R251=TRUE),MAX(AL250,AL251),0)))</f>
        <v>4</v>
      </c>
      <c r="AM252" s="1742">
        <f t="shared" ref="AM252" si="479">IF(AND($R250=TRUE,$R251=FALSE),AM250,IF(AND($R250=FALSE,$R251=TRUE),AM251,IF(AND($R250=TRUE,$R251=TRUE),MAX(AM250,AM251),0)))</f>
        <v>14</v>
      </c>
      <c r="AN252" s="1742"/>
      <c r="AO252" s="1742"/>
      <c r="AY252" s="734"/>
      <c r="AZ252" s="734"/>
      <c r="BA252" s="87"/>
      <c r="BB252" s="442"/>
      <c r="BC252" s="89"/>
      <c r="BD252" s="446"/>
      <c r="BE252" s="446"/>
      <c r="BF252" s="89"/>
      <c r="BG252" s="447"/>
      <c r="BH252" s="447"/>
      <c r="BI252" s="443"/>
    </row>
    <row r="253" spans="1:78" ht="68" x14ac:dyDescent="0.2">
      <c r="B253" s="1700"/>
      <c r="D253" s="386" t="s">
        <v>273</v>
      </c>
      <c r="E253" s="705"/>
      <c r="F253" s="439" t="s">
        <v>349</v>
      </c>
      <c r="G253" s="33"/>
      <c r="H253" s="33">
        <f>IF(AND(K249=TRUE,K252=FALSE),H249,IF(AND(K249=FALSE,K252=TRUE),H252,IF(AND(K249=TRUE,K252=TRUE),H249+H252,MAX(H249,H252))))</f>
        <v>14</v>
      </c>
      <c r="I253" s="1358"/>
      <c r="J253" s="440"/>
      <c r="K253" s="1341"/>
      <c r="L253" s="1342" t="str">
        <f>IF(AND(K252=TRUE,K249=TRUE),E252,"")</f>
        <v/>
      </c>
      <c r="M253" s="1342" t="str">
        <f>IF(AND(K249=TRUE,K252=FALSE),"Bien que le parent "&amp;E249&amp;" l'enfant ne semble pas s'ingérer","")</f>
        <v/>
      </c>
      <c r="N253" s="1342" t="str">
        <f>IF(AND(K249=FALSE,K252=TRUE),E252&amp;" sans signe de la participation du parent favorisé et|ou nouveau conjoint.e","")</f>
        <v>laisse entendre que la vraie famille est celle de l'autre parent sans signe de la participation du parent favorisé et|ou nouveau conjoint.e</v>
      </c>
      <c r="O253" s="1359" t="str">
        <f>IF(AND(K249=FALSE,K252=FALSE),"aucun comportement significatif de cette nature","")</f>
        <v/>
      </c>
      <c r="P253" s="1358"/>
      <c r="Q253" s="440"/>
      <c r="R253" s="1367"/>
      <c r="S253" s="1358"/>
      <c r="T253" s="440"/>
      <c r="U253" s="1367"/>
      <c r="V253" s="145"/>
      <c r="W253" s="823"/>
      <c r="X253" s="824">
        <f>IF(AND(W249="V",W252="V"),2,IF(OR(W249="V",W252="V"),1,0))</f>
        <v>1</v>
      </c>
      <c r="Y253" s="823"/>
      <c r="Z253" s="824">
        <f>IF(OR(Y249="V",Y252="V"),1,0)</f>
        <v>1</v>
      </c>
      <c r="AA253" s="823"/>
      <c r="AB253" s="824"/>
      <c r="AD253" s="10"/>
      <c r="AE253" s="10"/>
      <c r="AF253" s="10"/>
      <c r="AG253" s="1738">
        <f>IF(AND($W249="V",$W252="F"),AG249,IF(AND($W249="F",$W252="V"),AG252,IF(AND($W249="V",$W252="V"),AG249+AG252,0)))</f>
        <v>14</v>
      </c>
      <c r="AH253" s="1738">
        <f>IF(AND($Y249="V",$Y252="F"),AH249,IF(AND($Y249="F",$Y252="V"),AH252,IF(AND($Y249="V",$Y252="V"),AH249+AH252,0)))</f>
        <v>18</v>
      </c>
      <c r="AI253" s="1738"/>
      <c r="AJ253" s="1738">
        <f>IF(AND($W249="V",$W252="F"),AJ249,IF(AND($W249="F",$W252="V"),AJ252,IF(AND($W249="V",$W252="V"),AJ249+AJ252,0)))</f>
        <v>8</v>
      </c>
      <c r="AK253" s="1738">
        <f>IF(AND($W249="V",$W252="F"),AK249,IF(AND($W249="F",$W252="V"),AK252,IF(AND($W249="V",$W252="V"),AK249+AK252,0)))</f>
        <v>20</v>
      </c>
      <c r="AL253" s="1738">
        <f>IF(AND($Y249="V",$Y252="F"),AL249,IF(AND($Y249="F",$Y252="V"),AL252,IF(AND($Y249="V",$Y252="V"),AL249+AL252,0)))</f>
        <v>8</v>
      </c>
      <c r="AM253" s="1738">
        <f>IF(AND($Y249="V",$Y252="F"),AM249,IF(AND($Y249="F",$Y252="V"),AM252,IF(AND($Y249="V",$Y252="V"),AM249+AM252,0)))</f>
        <v>22</v>
      </c>
      <c r="AN253" s="1738"/>
      <c r="AO253" s="1738"/>
      <c r="AY253" s="734"/>
      <c r="AZ253" s="734"/>
      <c r="BA253" s="87"/>
      <c r="BB253" s="442"/>
      <c r="BC253" s="89"/>
      <c r="BD253" s="446"/>
      <c r="BE253" s="446"/>
      <c r="BF253" s="89"/>
      <c r="BG253" s="447"/>
      <c r="BH253" s="447"/>
      <c r="BI253" s="443"/>
    </row>
    <row r="254" spans="1:78" ht="19" x14ac:dyDescent="0.2">
      <c r="B254" s="1700"/>
      <c r="C254" t="s">
        <v>238</v>
      </c>
      <c r="I254" s="122"/>
      <c r="L254" s="32"/>
      <c r="M254" s="32"/>
      <c r="N254" s="32"/>
      <c r="O254" s="1379"/>
      <c r="P254" s="122"/>
      <c r="R254" s="292"/>
      <c r="S254" s="122"/>
      <c r="U254" s="292"/>
      <c r="V254" s="32"/>
      <c r="W254" s="821"/>
      <c r="X254" s="822"/>
      <c r="Y254" s="821"/>
      <c r="Z254" s="822"/>
      <c r="AA254" s="821"/>
      <c r="AB254" s="822"/>
      <c r="AD254" s="10"/>
      <c r="AE254" s="10"/>
      <c r="AF254" s="10"/>
      <c r="AG254" s="832"/>
      <c r="AH254" s="832"/>
      <c r="AI254" s="832"/>
      <c r="AJ254" s="1490"/>
      <c r="AK254" s="1490"/>
      <c r="AL254" s="1490"/>
      <c r="AM254" s="1490"/>
      <c r="AN254" s="1490"/>
      <c r="AO254" s="1490"/>
      <c r="AY254" s="734"/>
      <c r="AZ254" s="734"/>
      <c r="BA254" s="87"/>
      <c r="BB254" s="442"/>
      <c r="BC254" s="89"/>
      <c r="BD254" s="446"/>
      <c r="BE254" s="446"/>
      <c r="BF254" s="89"/>
      <c r="BG254" s="447"/>
      <c r="BH254" s="447"/>
      <c r="BI254" s="443"/>
    </row>
    <row r="255" spans="1:78" ht="19" x14ac:dyDescent="0.2">
      <c r="B255" s="1700"/>
      <c r="C255" s="825"/>
      <c r="D255" s="829"/>
      <c r="E255" s="826"/>
      <c r="F255" s="830"/>
      <c r="G255" s="830"/>
      <c r="H255" s="830">
        <f>F255*G255</f>
        <v>0</v>
      </c>
      <c r="I255" s="1374">
        <v>11</v>
      </c>
      <c r="J255" s="1375">
        <v>11</v>
      </c>
      <c r="K255" s="31" t="b">
        <f>IF(AND(F255&gt;=I255,F255&lt;=J255),TRUE,FALSE)</f>
        <v>0</v>
      </c>
      <c r="L255" s="26"/>
      <c r="M255" s="26"/>
      <c r="N255" s="26"/>
      <c r="O255" s="1360"/>
      <c r="P255" s="1374">
        <v>11</v>
      </c>
      <c r="Q255" s="1375">
        <v>11</v>
      </c>
      <c r="R255" s="1351" t="b">
        <f>IF(AND(F255&gt;=P255,F255&lt;=Q255),TRUE,FALSE)</f>
        <v>0</v>
      </c>
      <c r="S255" s="1374">
        <v>11</v>
      </c>
      <c r="T255" s="1375">
        <v>11</v>
      </c>
      <c r="U255" s="1351" t="b">
        <f>IF(AND(F255&gt;=S255,F255&lt;=T255),TRUE,FALSE)</f>
        <v>0</v>
      </c>
      <c r="V255" s="32"/>
      <c r="W255" s="821"/>
      <c r="X255" s="822"/>
      <c r="Y255" s="821"/>
      <c r="Z255" s="822"/>
      <c r="AA255" s="821"/>
      <c r="AB255" s="822"/>
      <c r="AD255" s="10"/>
      <c r="AE255" s="10"/>
      <c r="AF255" s="10"/>
      <c r="AG255" s="832">
        <f>IF($K255=TRUE,H255,0)</f>
        <v>0</v>
      </c>
      <c r="AH255" s="832">
        <f>IF($R255=TRUE,H255,0)</f>
        <v>0</v>
      </c>
      <c r="AI255" s="832">
        <f>IF($U255=TRUE,H255,0)</f>
        <v>0</v>
      </c>
      <c r="AJ255" s="1490">
        <f t="shared" ref="AJ255:AJ256" si="480">IF(OR(I255=11,A255="F"),0,G255*I255)</f>
        <v>0</v>
      </c>
      <c r="AK255" s="1490">
        <f t="shared" ref="AK255:AK256" si="481">IF(OR(J255=11,A255="F"),0,G255*J255)</f>
        <v>0</v>
      </c>
      <c r="AL255" s="1490">
        <f t="shared" ref="AL255:AL256" si="482">IF(OR(P255=11,A255="F"),0,G255*P255)</f>
        <v>0</v>
      </c>
      <c r="AM255" s="1490">
        <f t="shared" ref="AM255:AM256" si="483">IF(OR(Q255=11,A255="F"),0,G255*Q255)</f>
        <v>0</v>
      </c>
      <c r="AN255" s="1490">
        <f t="shared" ref="AN255:AN256" si="484">IF(OR(S255=11,A255="F"),0,S255*G255)</f>
        <v>0</v>
      </c>
      <c r="AO255" s="1490">
        <f t="shared" ref="AO255:AO256" si="485">IF(OR(T255=11,A255="F"),0,T255*G255)</f>
        <v>0</v>
      </c>
      <c r="AY255" s="734"/>
      <c r="AZ255" s="734"/>
      <c r="BA255" s="87"/>
      <c r="BB255" s="442"/>
      <c r="BC255" s="89"/>
      <c r="BD255" s="446"/>
      <c r="BE255" s="446"/>
      <c r="BF255" s="89"/>
      <c r="BG255" s="447"/>
      <c r="BH255" s="447"/>
      <c r="BI255" s="443"/>
    </row>
    <row r="256" spans="1:78" ht="20" thickBot="1" x14ac:dyDescent="0.25">
      <c r="B256" s="1700"/>
      <c r="C256" s="825"/>
      <c r="D256" s="829"/>
      <c r="E256" s="826"/>
      <c r="F256" s="830"/>
      <c r="G256" s="830"/>
      <c r="H256" s="830">
        <f>F256*G256</f>
        <v>0</v>
      </c>
      <c r="I256" s="1374">
        <v>11</v>
      </c>
      <c r="J256" s="1375">
        <v>11</v>
      </c>
      <c r="K256" s="31" t="b">
        <f>IF(AND(F256&gt;=I256,F256&lt;=J256),TRUE,FALSE)</f>
        <v>0</v>
      </c>
      <c r="L256" s="26"/>
      <c r="M256" s="26"/>
      <c r="N256" s="26"/>
      <c r="O256" s="1360"/>
      <c r="P256" s="1374">
        <v>11</v>
      </c>
      <c r="Q256" s="1375">
        <v>11</v>
      </c>
      <c r="R256" s="1351" t="b">
        <f>IF(AND(F256&gt;=P256,F256&lt;=Q256),TRUE,FALSE)</f>
        <v>0</v>
      </c>
      <c r="S256" s="1374">
        <v>11</v>
      </c>
      <c r="T256" s="1375">
        <v>11</v>
      </c>
      <c r="U256" s="1351" t="b">
        <f>IF(AND(F256&gt;=S256,F256&lt;=T256),TRUE,FALSE)</f>
        <v>0</v>
      </c>
      <c r="W256" s="821"/>
      <c r="X256" s="822"/>
      <c r="Y256" s="821"/>
      <c r="Z256" s="822"/>
      <c r="AA256" s="821"/>
      <c r="AB256" s="822"/>
      <c r="AD256" s="10"/>
      <c r="AE256" s="10"/>
      <c r="AF256" s="10"/>
      <c r="AG256" s="832">
        <f>IF($K256=TRUE,H256,0)</f>
        <v>0</v>
      </c>
      <c r="AH256" s="832">
        <f>IF($R256=TRUE,H256,0)</f>
        <v>0</v>
      </c>
      <c r="AI256" s="832">
        <f>IF($U256=TRUE,H256,0)</f>
        <v>0</v>
      </c>
      <c r="AJ256" s="1490">
        <f t="shared" si="480"/>
        <v>0</v>
      </c>
      <c r="AK256" s="1490">
        <f t="shared" si="481"/>
        <v>0</v>
      </c>
      <c r="AL256" s="1490">
        <f t="shared" si="482"/>
        <v>0</v>
      </c>
      <c r="AM256" s="1490">
        <f t="shared" si="483"/>
        <v>0</v>
      </c>
      <c r="AN256" s="1490">
        <f t="shared" si="484"/>
        <v>0</v>
      </c>
      <c r="AO256" s="1490">
        <f t="shared" si="485"/>
        <v>0</v>
      </c>
      <c r="BA256" s="87"/>
      <c r="BB256" s="442"/>
      <c r="BC256" s="86"/>
      <c r="BD256" s="444"/>
      <c r="BE256" s="444"/>
      <c r="BF256" s="86"/>
      <c r="BG256" s="87"/>
      <c r="BH256" s="87"/>
      <c r="BI256" s="86"/>
    </row>
    <row r="257" spans="1:89" ht="22" thickBot="1" x14ac:dyDescent="0.25">
      <c r="B257" s="1700"/>
      <c r="D257" s="16"/>
      <c r="E257" s="16"/>
      <c r="F257" s="67"/>
      <c r="G257" s="438"/>
      <c r="H257" s="33">
        <f>IF(AND(K255=TRUE,K256=FALSE),H255,IF(AND(K255=FALSE,K256=TRUE),H256,MAX(H255,H256)))</f>
        <v>0</v>
      </c>
      <c r="I257" s="1371"/>
      <c r="J257" s="1372"/>
      <c r="K257" s="1378" t="b">
        <f>IF(AND(K255=FALSE,K256=FALSE),FALSE,TRUE)</f>
        <v>0</v>
      </c>
      <c r="L257" s="1361"/>
      <c r="M257" s="1362"/>
      <c r="N257" s="1362"/>
      <c r="O257" s="1363"/>
      <c r="P257" s="1371"/>
      <c r="Q257" s="1372"/>
      <c r="R257" s="1378" t="b">
        <f>IF(AND(R255=FALSE,R256=FALSE),FALSE,TRUE)</f>
        <v>0</v>
      </c>
      <c r="S257" s="1383"/>
      <c r="T257" s="1384"/>
      <c r="U257" s="1385" t="b">
        <f>IF(AND(U255=FALSE,U256=FALSE),FALSE,TRUE)</f>
        <v>0</v>
      </c>
      <c r="V257" s="809"/>
      <c r="W257" s="1315" t="str">
        <f>IF(K257=TRUE,"V","F")</f>
        <v>F</v>
      </c>
      <c r="X257" s="1316"/>
      <c r="Y257" s="1315" t="str">
        <f>IF(R257=TRUE,"V","F")</f>
        <v>F</v>
      </c>
      <c r="Z257" s="1316"/>
      <c r="AA257" s="1315" t="str">
        <f>IF(U257=TRUE,"V","F")</f>
        <v>F</v>
      </c>
      <c r="AB257" s="1316"/>
      <c r="AD257" s="10"/>
      <c r="AE257" s="10"/>
      <c r="AF257" s="10"/>
      <c r="AG257" s="1742">
        <f>IF(AND($K255=TRUE,$K256=FALSE),AG255,IF(AND($K255=FALSE,$K256=TRUE),AG256,MAX(AG255,AG256)))</f>
        <v>0</v>
      </c>
      <c r="AH257" s="1742">
        <f>IF(AND($R255=TRUE,$R256=FALSE),AH255,IF(AND($R255=FALSE,$R256=TRUE),AH256,MAX(AH255,AH256)))</f>
        <v>0</v>
      </c>
      <c r="AI257" s="1742">
        <f>IF(AND($U255=TRUE,$U256=FALSE),AI255,IF(AND($U255=FALSE,$U256=TRUE),AI256,MAX(AI255,AI256)))</f>
        <v>0</v>
      </c>
      <c r="AJ257" s="1742">
        <f>IF(AND($K255=TRUE,$K256=FALSE),AJ255,IF(AND($K255=FALSE,$K256=TRUE),AJ256,MAX(AJ255,AJ256)))</f>
        <v>0</v>
      </c>
      <c r="AK257" s="1742">
        <f>IF(AND($K255=TRUE,$K256=FALSE),AK255,IF(AND($K255=FALSE,$K256=TRUE),AK256,MAX(AK255,AK256)))</f>
        <v>0</v>
      </c>
      <c r="AL257" s="1742">
        <f>IF(AND($R255=TRUE,$R256=FALSE),AL255,IF(AND($R255=FALSE,$R256=TRUE),AL256,MAX(AL255,AL256)))</f>
        <v>0</v>
      </c>
      <c r="AM257" s="1742">
        <f>IF(AND($R255=TRUE,$R256=FALSE),AM255,IF(AND($R255=FALSE,$R256=TRUE),AM256,MAX(AM255,AM256)))</f>
        <v>0</v>
      </c>
      <c r="AN257" s="1742">
        <f>IF(AND($U255=TRUE,$U256=FALSE),AN255,IF(AND($U255=FALSE,$U256=TRUE),AN256,MAX(AN255,AN256)))</f>
        <v>0</v>
      </c>
      <c r="AO257" s="1742">
        <f>IF(AND($U255=TRUE,$U256=FALSE),AO255,IF(AND($U255=FALSE,$U256=TRUE),AO256,MAX(AO255,AO256)))</f>
        <v>0</v>
      </c>
      <c r="BA257" s="87"/>
      <c r="BB257" s="442"/>
      <c r="BC257" s="86"/>
      <c r="BD257" s="444"/>
      <c r="BE257" s="444"/>
      <c r="BF257" s="86"/>
      <c r="BG257" s="87"/>
      <c r="BH257" s="87"/>
      <c r="BI257" s="86"/>
    </row>
    <row r="258" spans="1:89" ht="27" thickBot="1" x14ac:dyDescent="0.35">
      <c r="D258" s="16"/>
      <c r="E258" s="16"/>
      <c r="F258" s="67"/>
      <c r="G258" s="438"/>
      <c r="H258" s="438"/>
      <c r="I258" s="8"/>
      <c r="J258" s="8"/>
      <c r="K258" s="808"/>
      <c r="L258" s="809"/>
      <c r="M258" s="809"/>
      <c r="N258" s="809"/>
      <c r="O258" s="809"/>
      <c r="P258" s="809"/>
      <c r="Q258" s="809"/>
      <c r="R258" s="809"/>
      <c r="S258" s="809"/>
      <c r="T258" s="809"/>
      <c r="U258" s="809"/>
      <c r="V258" s="809"/>
      <c r="W258" s="1376"/>
      <c r="X258" s="1377">
        <f>IF(AND(W257="V",W249="V"),X253-1,X253)</f>
        <v>1</v>
      </c>
      <c r="Y258" s="1376"/>
      <c r="Z258" s="1377">
        <f>IF(OR(Y249="V",Y252="V",Y257="V"),1,0)</f>
        <v>1</v>
      </c>
      <c r="AA258" s="1376"/>
      <c r="AB258" s="1377">
        <f>IF(AA249="V",1,IF(AA257="V",1,0))</f>
        <v>0</v>
      </c>
      <c r="AD258" s="10">
        <f>X258</f>
        <v>1</v>
      </c>
      <c r="AE258" s="10">
        <f>Z258</f>
        <v>1</v>
      </c>
      <c r="AF258" s="10">
        <f>AB258</f>
        <v>0</v>
      </c>
      <c r="AG258" s="1741">
        <f>IF($W257="F",AG253,AG253+AG257)</f>
        <v>14</v>
      </c>
      <c r="AH258" s="1741">
        <f>IF($Y257="F",AH253,AH253+AH257)</f>
        <v>18</v>
      </c>
      <c r="AI258" s="1741">
        <f>IF(AND($AA249="V",$AA257="F"),AI249,IF(AND($AA249="F",$AA257="V"),AI257,IF(AND($AA249="V",$AA257="V"),AI249+AI257,0)))</f>
        <v>0</v>
      </c>
      <c r="AJ258" s="1741">
        <f>IF($W257="F",AJ253,AJ253+AJ257)</f>
        <v>8</v>
      </c>
      <c r="AK258" s="1741">
        <f t="shared" ref="AK258" si="486">IF($W257="F",AK253,AK253+AK257)</f>
        <v>20</v>
      </c>
      <c r="AL258" s="1741">
        <f t="shared" ref="AL258" si="487">IF($Y257="F",AL253,AL253+AL257)</f>
        <v>8</v>
      </c>
      <c r="AM258" s="1741">
        <f t="shared" ref="AM258" si="488">IF($Y257="F",AM253,AM253+AM257)</f>
        <v>22</v>
      </c>
      <c r="AN258" s="1741">
        <f t="shared" ref="AN258" si="489">IF(AND($AA249="V",$AA257="F"),AN249,IF(AND($AA249="F",$AA257="V"),AN257,IF(AND($AA249="V",$AA257="V"),AN249+AN257,0)))</f>
        <v>0</v>
      </c>
      <c r="AO258" s="1741">
        <f t="shared" ref="AO258" si="490">IF(AND($AA249="V",$AA257="F"),AO249,IF(AND($AA249="F",$AA257="V"),AO257,IF(AND($AA249="V",$AA257="V"),AO249+AO257,0)))</f>
        <v>0</v>
      </c>
      <c r="BA258" s="87"/>
      <c r="BB258" s="442"/>
      <c r="BC258" s="86"/>
      <c r="BD258" s="444"/>
      <c r="BE258" s="444"/>
      <c r="BF258" s="86"/>
      <c r="BG258" s="87"/>
      <c r="BH258" s="87"/>
      <c r="BI258" s="86"/>
    </row>
    <row r="259" spans="1:89" x14ac:dyDescent="0.3">
      <c r="D259" s="16"/>
      <c r="E259" s="16"/>
      <c r="F259" s="67"/>
      <c r="G259" s="438"/>
      <c r="H259" s="438"/>
      <c r="I259" s="1344"/>
      <c r="J259" s="1345"/>
      <c r="K259" s="1346"/>
      <c r="L259" s="2603"/>
      <c r="M259" s="2603"/>
      <c r="N259" s="2603"/>
      <c r="O259" s="1347"/>
      <c r="P259" s="1364"/>
      <c r="Q259" s="1346"/>
      <c r="R259" s="1347"/>
      <c r="S259" s="1364"/>
      <c r="T259" s="1346"/>
      <c r="U259" s="1347"/>
      <c r="V259" s="145"/>
      <c r="W259" s="1387"/>
      <c r="X259" s="1388"/>
      <c r="Y259" s="1231"/>
      <c r="Z259" s="1231"/>
      <c r="AA259" s="1231"/>
      <c r="AB259" s="1231"/>
      <c r="AD259" s="10"/>
      <c r="AE259" s="10"/>
      <c r="AF259" s="10"/>
      <c r="BA259" s="87"/>
      <c r="BB259" s="442"/>
      <c r="BC259" s="86"/>
      <c r="BD259" s="444"/>
      <c r="BE259" s="444"/>
      <c r="BF259" s="86"/>
      <c r="BG259" s="87"/>
      <c r="BH259" s="87"/>
      <c r="BI259" s="86"/>
    </row>
    <row r="260" spans="1:89" x14ac:dyDescent="0.3">
      <c r="B260" s="1699">
        <v>12</v>
      </c>
      <c r="D260" s="441" t="str">
        <f>'Cpts AR +indép + Sommaire'!B40</f>
        <v>Le nouveau ou la nouvelle conjoint.e se fait appeler "papa" ou "maman"</v>
      </c>
      <c r="E260" s="84"/>
      <c r="F260" s="50"/>
      <c r="G260" s="18"/>
      <c r="H260" s="18"/>
      <c r="I260" s="2595" t="s">
        <v>604</v>
      </c>
      <c r="J260" s="2596"/>
      <c r="K260" s="2596"/>
      <c r="L260" s="2597" t="s">
        <v>1086</v>
      </c>
      <c r="M260" s="2597"/>
      <c r="N260" s="2597"/>
      <c r="O260" s="2598"/>
      <c r="P260" s="2599" t="s">
        <v>603</v>
      </c>
      <c r="Q260" s="2600"/>
      <c r="R260" s="2601"/>
      <c r="S260" s="2590" t="s">
        <v>605</v>
      </c>
      <c r="T260" s="2591"/>
      <c r="U260" s="2592"/>
      <c r="V260" s="15"/>
      <c r="W260" s="817"/>
      <c r="X260" s="817"/>
      <c r="Y260" s="817"/>
      <c r="Z260" s="817"/>
      <c r="AA260" s="817"/>
      <c r="AB260" s="818"/>
      <c r="AD260" s="10"/>
      <c r="AE260" s="10"/>
      <c r="AF260" s="10"/>
      <c r="AG260" s="1386" t="s">
        <v>604</v>
      </c>
      <c r="AH260" s="1386" t="s">
        <v>603</v>
      </c>
      <c r="AI260" s="1386" t="s">
        <v>605</v>
      </c>
      <c r="AJ260" s="2589" t="s">
        <v>604</v>
      </c>
      <c r="AK260" s="2589"/>
      <c r="AL260" s="2589" t="s">
        <v>603</v>
      </c>
      <c r="AM260" s="2589"/>
      <c r="AN260" s="2589" t="s">
        <v>605</v>
      </c>
      <c r="AO260" s="2589"/>
      <c r="BA260" s="87"/>
      <c r="BB260" s="442"/>
      <c r="BC260" s="86"/>
      <c r="BD260" s="444"/>
      <c r="BE260" s="444"/>
      <c r="BF260" s="86"/>
      <c r="BG260" s="87"/>
      <c r="BH260" s="87"/>
      <c r="BI260" s="86"/>
    </row>
    <row r="261" spans="1:89" ht="36" x14ac:dyDescent="0.3">
      <c r="D261" s="79" t="s">
        <v>779</v>
      </c>
      <c r="E261" s="835" t="s">
        <v>778</v>
      </c>
      <c r="F261" s="26" t="s">
        <v>226</v>
      </c>
      <c r="G261" s="26" t="s">
        <v>22</v>
      </c>
      <c r="H261" s="26" t="s">
        <v>612</v>
      </c>
      <c r="I261" s="1348" t="s">
        <v>269</v>
      </c>
      <c r="J261" s="29" t="s">
        <v>270</v>
      </c>
      <c r="K261" s="29" t="s">
        <v>271</v>
      </c>
      <c r="L261" s="29" t="s">
        <v>363</v>
      </c>
      <c r="M261" s="29" t="s">
        <v>339</v>
      </c>
      <c r="N261" s="29" t="s">
        <v>340</v>
      </c>
      <c r="O261" s="1349" t="s">
        <v>341</v>
      </c>
      <c r="P261" s="1348" t="s">
        <v>269</v>
      </c>
      <c r="Q261" s="29" t="s">
        <v>270</v>
      </c>
      <c r="R261" s="1349" t="s">
        <v>271</v>
      </c>
      <c r="S261" s="1348" t="s">
        <v>269</v>
      </c>
      <c r="T261" s="29" t="s">
        <v>270</v>
      </c>
      <c r="U261" s="1349" t="s">
        <v>271</v>
      </c>
      <c r="V261" s="736"/>
      <c r="W261" s="827" t="s">
        <v>604</v>
      </c>
      <c r="X261" s="828" t="s">
        <v>754</v>
      </c>
      <c r="Y261" s="827" t="s">
        <v>603</v>
      </c>
      <c r="Z261" s="828" t="s">
        <v>755</v>
      </c>
      <c r="AA261" s="827" t="s">
        <v>605</v>
      </c>
      <c r="AB261" s="828" t="s">
        <v>756</v>
      </c>
      <c r="AD261" s="10"/>
      <c r="AE261" s="10"/>
      <c r="AF261" s="10"/>
      <c r="AG261" s="10"/>
      <c r="AH261" s="10"/>
      <c r="AI261" s="10"/>
      <c r="AJ261" s="1490" t="s">
        <v>1058</v>
      </c>
      <c r="AK261" s="1490" t="s">
        <v>1059</v>
      </c>
      <c r="AL261" s="1490" t="s">
        <v>1058</v>
      </c>
      <c r="AM261" s="1490" t="s">
        <v>1059</v>
      </c>
      <c r="AN261" s="1490" t="s">
        <v>1058</v>
      </c>
      <c r="AO261" s="1490" t="s">
        <v>1059</v>
      </c>
      <c r="BA261" s="87"/>
      <c r="BB261" s="442"/>
      <c r="BC261" s="86"/>
      <c r="BD261" s="444"/>
      <c r="BE261" s="444"/>
      <c r="BF261" s="86"/>
      <c r="BG261" s="87"/>
      <c r="BH261" s="87"/>
      <c r="BI261" s="86"/>
      <c r="CA261" s="76"/>
      <c r="CB261" s="81"/>
    </row>
    <row r="262" spans="1:89" ht="51" x14ac:dyDescent="0.2">
      <c r="A262" t="str">
        <f>IF(Test_Bible!B192="","F","O")</f>
        <v>F</v>
      </c>
      <c r="B262" s="1700" t="str">
        <f>'Cpts AR +indép + Sommaire'!G40</f>
        <v>Dénigrement</v>
      </c>
      <c r="C262" s="379" t="str">
        <f>'Cpts AR +indép + Sommaire'!C40</f>
        <v>PFA15a</v>
      </c>
      <c r="D262" s="25" t="str">
        <f>'Cpts AR +indép + Sommaire'!D40</f>
        <v>L'autre parent demande à votre enfant d'appeler son nouveau ou nouvelle conjoint·e maman ou papa.</v>
      </c>
      <c r="E262" s="78" t="s">
        <v>635</v>
      </c>
      <c r="F262" s="709">
        <f>'Cpts AR +indép + Sommaire'!E40</f>
        <v>0</v>
      </c>
      <c r="G262" s="709">
        <f>'Cpts AR +indép + Sommaire'!F40</f>
        <v>3</v>
      </c>
      <c r="H262" s="709">
        <f>F262*G262</f>
        <v>0</v>
      </c>
      <c r="I262" s="1350">
        <v>4</v>
      </c>
      <c r="J262" s="1343">
        <v>10</v>
      </c>
      <c r="K262" s="31" t="b">
        <f>IF(AND(F262&gt;=I262,F262&lt;=J262),TRUE,FALSE)</f>
        <v>0</v>
      </c>
      <c r="L262" s="31"/>
      <c r="M262" s="31"/>
      <c r="N262" s="31"/>
      <c r="O262" s="1351"/>
      <c r="P262" s="1350">
        <v>2</v>
      </c>
      <c r="Q262" s="1343">
        <v>7</v>
      </c>
      <c r="R262" s="1351" t="b">
        <f>IF(AND(F262&gt;=P262,F262&lt;=Q262),TRUE,FALSE)</f>
        <v>0</v>
      </c>
      <c r="S262" s="1374">
        <v>11</v>
      </c>
      <c r="T262" s="1375">
        <v>11</v>
      </c>
      <c r="U262" s="1351" t="b">
        <f>IF(AND(F262&gt;=S262,F262&lt;=T262),TRUE,FALSE)</f>
        <v>0</v>
      </c>
      <c r="V262" s="807"/>
      <c r="W262" s="819"/>
      <c r="X262" s="820"/>
      <c r="Y262" s="819"/>
      <c r="Z262" s="820"/>
      <c r="AA262" s="819"/>
      <c r="AB262" s="820"/>
      <c r="AD262" s="10"/>
      <c r="AE262" s="10"/>
      <c r="AF262" s="10"/>
      <c r="AG262" s="832">
        <f>IF($K262=TRUE,H262,0)</f>
        <v>0</v>
      </c>
      <c r="AH262" s="832">
        <f>IF($R262=TRUE,H262,0)</f>
        <v>0</v>
      </c>
      <c r="AI262" s="832">
        <f>IF($U262=TRUE,H262,0)</f>
        <v>0</v>
      </c>
      <c r="AJ262" s="1490">
        <f t="shared" ref="AJ262:AJ263" si="491">IF(OR(I262=11,A262="F"),0,G262*I262)</f>
        <v>0</v>
      </c>
      <c r="AK262" s="1490">
        <f t="shared" ref="AK262:AK263" si="492">IF(OR(J262=11,A262="F"),0,G262*J262)</f>
        <v>0</v>
      </c>
      <c r="AL262" s="1490">
        <f t="shared" ref="AL262:AL263" si="493">IF(OR(P262=11,A262="F"),0,G262*P262)</f>
        <v>0</v>
      </c>
      <c r="AM262" s="1490">
        <f t="shared" ref="AM262:AM263" si="494">IF(OR(Q262=11,A262="F"),0,G262*Q262)</f>
        <v>0</v>
      </c>
      <c r="AN262" s="1490">
        <f t="shared" ref="AN262:AN263" si="495">IF(OR(S262=11,A262="F"),0,S262*G262)</f>
        <v>0</v>
      </c>
      <c r="AO262" s="1490">
        <f t="shared" ref="AO262:AO263" si="496">IF(OR(T262=11,A262="F"),0,T262*G262)</f>
        <v>0</v>
      </c>
      <c r="BA262" s="87"/>
      <c r="BB262" s="442"/>
      <c r="BC262" s="86"/>
      <c r="BD262" s="444"/>
      <c r="BE262" s="444"/>
      <c r="BF262" s="86"/>
      <c r="BG262" s="87"/>
      <c r="BH262" s="87"/>
      <c r="BI262" s="86"/>
      <c r="CA262" s="32"/>
      <c r="CB262" s="72"/>
      <c r="CC262" s="10"/>
      <c r="CD262" s="72"/>
      <c r="CE262" s="10"/>
      <c r="CF262" s="10"/>
      <c r="CG262" s="72"/>
      <c r="CH262" s="10"/>
      <c r="CI262" s="10"/>
      <c r="CJ262" s="72"/>
    </row>
    <row r="263" spans="1:89" ht="19" x14ac:dyDescent="0.2">
      <c r="B263" s="1531"/>
      <c r="C263" s="379" t="s">
        <v>260</v>
      </c>
      <c r="D263" s="25"/>
      <c r="E263" s="78"/>
      <c r="F263" s="709"/>
      <c r="G263" s="708"/>
      <c r="H263" s="709">
        <f>F263*G263</f>
        <v>0</v>
      </c>
      <c r="I263" s="1374">
        <v>11</v>
      </c>
      <c r="J263" s="1375">
        <v>11</v>
      </c>
      <c r="K263" s="31" t="b">
        <f>IF(AND(F263&gt;=I263,F263&lt;=J263),TRUE,FALSE)</f>
        <v>0</v>
      </c>
      <c r="L263" s="31"/>
      <c r="M263" s="31"/>
      <c r="N263" s="31"/>
      <c r="O263" s="1351"/>
      <c r="P263" s="1374">
        <v>11</v>
      </c>
      <c r="Q263" s="1375">
        <v>11</v>
      </c>
      <c r="R263" s="1351" t="b">
        <f>IF(AND(F263&gt;=P263,F263&lt;=Q263),TRUE,FALSE)</f>
        <v>0</v>
      </c>
      <c r="S263" s="1374">
        <v>11</v>
      </c>
      <c r="T263" s="1375">
        <v>11</v>
      </c>
      <c r="U263" s="1351" t="b">
        <f>IF(AND(F263&gt;=S263,F263&lt;=T263),TRUE,FALSE)</f>
        <v>0</v>
      </c>
      <c r="V263" s="807"/>
      <c r="W263" s="821"/>
      <c r="X263" s="822"/>
      <c r="Y263" s="821"/>
      <c r="Z263" s="822"/>
      <c r="AA263" s="821"/>
      <c r="AB263" s="822"/>
      <c r="AD263" s="10"/>
      <c r="AE263" s="10"/>
      <c r="AF263" s="10"/>
      <c r="AG263" s="832">
        <f>IF($K263=TRUE,H263,0)</f>
        <v>0</v>
      </c>
      <c r="AH263" s="832">
        <f>IF($R263=TRUE,H263,0)</f>
        <v>0</v>
      </c>
      <c r="AI263" s="832">
        <f>IF($U263=TRUE,H263,0)</f>
        <v>0</v>
      </c>
      <c r="AJ263" s="1490">
        <f t="shared" si="491"/>
        <v>0</v>
      </c>
      <c r="AK263" s="1490">
        <f t="shared" si="492"/>
        <v>0</v>
      </c>
      <c r="AL263" s="1490">
        <f t="shared" si="493"/>
        <v>0</v>
      </c>
      <c r="AM263" s="1490">
        <f t="shared" si="494"/>
        <v>0</v>
      </c>
      <c r="AN263" s="1490">
        <f t="shared" si="495"/>
        <v>0</v>
      </c>
      <c r="AO263" s="1490">
        <f t="shared" si="496"/>
        <v>0</v>
      </c>
      <c r="BA263" s="87"/>
      <c r="BB263" s="442"/>
      <c r="BC263" s="86"/>
      <c r="BD263" s="444"/>
      <c r="BE263" s="444"/>
      <c r="BF263" s="86"/>
      <c r="BG263" s="87"/>
      <c r="BH263" s="87"/>
      <c r="BI263" s="86"/>
      <c r="CA263" s="75"/>
      <c r="CB263" s="16"/>
      <c r="CC263" s="7"/>
      <c r="CD263" s="68"/>
      <c r="CE263" s="7"/>
      <c r="CF263" s="7"/>
      <c r="CG263" s="7"/>
      <c r="CH263" s="7"/>
      <c r="CI263" s="7"/>
      <c r="CJ263" s="2604"/>
      <c r="CK263" s="2514"/>
    </row>
    <row r="264" spans="1:89" ht="51" x14ac:dyDescent="0.2">
      <c r="B264" s="1702"/>
      <c r="C264" s="710" t="s">
        <v>609</v>
      </c>
      <c r="D264" s="711" t="str">
        <f>_xlfn.XLOOKUP(H264,H262:H263,D262:D263)</f>
        <v>L'autre parent demande à votre enfant d'appeler son nouveau ou nouvelle conjoint·e maman ou papa.</v>
      </c>
      <c r="E264" s="712" t="str">
        <f>_xlfn.XLOOKUP(H264,H262:H263,E262:E263)</f>
        <v>demande à l'enfant d'appeler son nouveau conjoint.e maman ou papa</v>
      </c>
      <c r="F264" s="713"/>
      <c r="G264" s="713"/>
      <c r="H264" s="713">
        <f>IF(AND(K262=TRUE,K263=FALSE),H262,IF(AND(K262=FALSE,K263=TRUE),H263,MAX(H262,H263)))</f>
        <v>0</v>
      </c>
      <c r="I264" s="1352"/>
      <c r="J264" s="714"/>
      <c r="K264" s="715" t="b">
        <f>IF(AND(K262=FALSE,K263=FALSE),FALSE,TRUE)</f>
        <v>0</v>
      </c>
      <c r="L264" s="31"/>
      <c r="M264" s="31"/>
      <c r="N264" s="31"/>
      <c r="O264" s="1351"/>
      <c r="P264" s="1352"/>
      <c r="Q264" s="714"/>
      <c r="R264" s="1365" t="b">
        <f>IF(AND(R262=FALSE,R263=FALSE),FALSE,TRUE)</f>
        <v>0</v>
      </c>
      <c r="S264" s="1352"/>
      <c r="T264" s="714"/>
      <c r="U264" s="1365" t="b">
        <f>IF(AND(U262=FALSE,U263=FALSE),FALSE,TRUE)</f>
        <v>0</v>
      </c>
      <c r="V264" s="807"/>
      <c r="W264" s="821"/>
      <c r="X264" s="822"/>
      <c r="Y264" s="821"/>
      <c r="Z264" s="822"/>
      <c r="AA264" s="821"/>
      <c r="AB264" s="822"/>
      <c r="AD264" s="10"/>
      <c r="AE264" s="10"/>
      <c r="AF264" s="10"/>
      <c r="AG264" s="1740">
        <f>IF($K264=TRUE,MAX(AG262:AG263),0)</f>
        <v>0</v>
      </c>
      <c r="AH264" s="1740">
        <f>IF($R264=TRUE,MAX(AH262:AH263),0)</f>
        <v>0</v>
      </c>
      <c r="AI264" s="1740">
        <f>IF($U264=TRUE,MAX(AI262:AI263),0)</f>
        <v>0</v>
      </c>
      <c r="AJ264" s="1739">
        <f>MAX(AJ262:AJ263)</f>
        <v>0</v>
      </c>
      <c r="AK264" s="1739">
        <f t="shared" ref="AK264" si="497">MAX(AK262:AK263)</f>
        <v>0</v>
      </c>
      <c r="AL264" s="1739">
        <f t="shared" ref="AL264" si="498">MAX(AL262:AL263)</f>
        <v>0</v>
      </c>
      <c r="AM264" s="1739">
        <f t="shared" ref="AM264" si="499">MAX(AM262:AM263)</f>
        <v>0</v>
      </c>
      <c r="AN264" s="1739">
        <f t="shared" ref="AN264" si="500">MAX(AN262:AN263)</f>
        <v>0</v>
      </c>
      <c r="AO264" s="1739">
        <f t="shared" ref="AO264" si="501">MAX(AO262:AO263)</f>
        <v>0</v>
      </c>
      <c r="BA264" s="87"/>
      <c r="BB264" s="442"/>
      <c r="BC264" s="86"/>
      <c r="BD264" s="444"/>
      <c r="BE264" s="444"/>
      <c r="BF264" s="86"/>
      <c r="BG264" s="87"/>
      <c r="BH264" s="87"/>
      <c r="BI264" s="86"/>
      <c r="CA264" s="75"/>
      <c r="CD264" s="68"/>
      <c r="CE264" s="7"/>
      <c r="CF264" s="7"/>
      <c r="CG264" s="7"/>
      <c r="CH264" s="7"/>
      <c r="CJ264" s="2604"/>
      <c r="CK264" s="2514"/>
    </row>
    <row r="265" spans="1:89" ht="48" x14ac:dyDescent="0.2">
      <c r="A265" t="str">
        <f>IF(Test_Bible!B424="","F","O")</f>
        <v>O</v>
      </c>
      <c r="B265" s="1531" t="str">
        <f>'Cpts AR +indép + Sommaire'!M40</f>
        <v>Interférence lien affectif ou symbolique</v>
      </c>
      <c r="C265" s="38" t="str">
        <f>'Cpts AR +indép + Sommaire'!I40</f>
        <v>NC14</v>
      </c>
      <c r="D265" s="25" t="str">
        <f>'Cpts AR +indép + Sommaire'!J40</f>
        <v>Le nouveau ou nouvelle conjoint·e demande à votre enfant de l'appeler maman ou papa.</v>
      </c>
      <c r="E265" s="78" t="s">
        <v>654</v>
      </c>
      <c r="F265" s="709">
        <f>'Cpts AR +indép + Sommaire'!K40</f>
        <v>2</v>
      </c>
      <c r="G265" s="709">
        <f>'Cpts AR +indép + Sommaire'!L40</f>
        <v>2</v>
      </c>
      <c r="H265" s="709">
        <f>F265*G265</f>
        <v>4</v>
      </c>
      <c r="I265" s="1350">
        <v>7</v>
      </c>
      <c r="J265" s="1343">
        <v>10</v>
      </c>
      <c r="K265" s="31" t="b">
        <f>IF(AND(F265&gt;=I265,F265&lt;=J265),TRUE,FALSE)</f>
        <v>0</v>
      </c>
      <c r="L265" s="31"/>
      <c r="M265" s="31"/>
      <c r="N265" s="31"/>
      <c r="O265" s="1351"/>
      <c r="P265" s="1350">
        <v>4</v>
      </c>
      <c r="Q265" s="1343">
        <v>7</v>
      </c>
      <c r="R265" s="1351" t="b">
        <f>IF(AND(F265&gt;=P265,F265&lt;=Q265),TRUE,FALSE)</f>
        <v>0</v>
      </c>
      <c r="S265" s="1350">
        <v>7</v>
      </c>
      <c r="T265" s="1343">
        <v>10</v>
      </c>
      <c r="U265" s="1351" t="b">
        <f>IF(AND(F265&gt;=S265,F265&lt;=T265),TRUE,FALSE)</f>
        <v>0</v>
      </c>
      <c r="V265" s="807"/>
      <c r="W265" s="821"/>
      <c r="X265" s="822"/>
      <c r="Y265" s="821"/>
      <c r="Z265" s="822"/>
      <c r="AA265" s="821"/>
      <c r="AB265" s="822"/>
      <c r="AD265" s="10"/>
      <c r="AE265" s="10"/>
      <c r="AF265" s="10"/>
      <c r="AG265" s="832">
        <f>IF(K265=TRUE,H265,0)</f>
        <v>0</v>
      </c>
      <c r="AH265" s="832">
        <f>IF(R265=TRUE,H265,0)</f>
        <v>0</v>
      </c>
      <c r="AI265" s="832">
        <f>IF(U265=TRUE,H265,0)</f>
        <v>0</v>
      </c>
      <c r="AJ265" s="1490">
        <f>IF(OR(I265=11,A265="F"),0,G265*I265)</f>
        <v>14</v>
      </c>
      <c r="AK265" s="1490">
        <f t="shared" ref="AK265:AK266" si="502">IF(OR(J265=11,A265="F"),0,G265*J265)</f>
        <v>20</v>
      </c>
      <c r="AL265" s="1490">
        <f t="shared" ref="AL265:AL266" si="503">IF(OR(P265=11,A265="F"),0,G265*P265)</f>
        <v>8</v>
      </c>
      <c r="AM265" s="1490">
        <f t="shared" ref="AM265:AM266" si="504">IF(OR(Q265=11,A265="F"),0,G265*Q265)</f>
        <v>14</v>
      </c>
      <c r="AN265" s="1490">
        <f t="shared" ref="AN265:AN266" si="505">IF(OR(S265=11,A265="F"),0,S265*G265)</f>
        <v>14</v>
      </c>
      <c r="AO265" s="1490">
        <f t="shared" ref="AO265:AO266" si="506">IF(OR(T265=11,A265="F"),0,T265*G265)</f>
        <v>20</v>
      </c>
      <c r="AY265" s="734"/>
      <c r="AZ265" s="734"/>
      <c r="BA265" s="87"/>
      <c r="BB265" s="442"/>
      <c r="BC265" s="89"/>
      <c r="BD265" s="446"/>
      <c r="BE265" s="446"/>
      <c r="BF265" s="89"/>
      <c r="BG265" s="447"/>
      <c r="BH265" s="447"/>
      <c r="BI265" s="443"/>
      <c r="CA265" s="75"/>
      <c r="CD265" s="68"/>
      <c r="CE265" s="7"/>
      <c r="CF265" s="7"/>
      <c r="CG265" s="7"/>
      <c r="CH265" s="7"/>
      <c r="CJ265" s="704"/>
      <c r="CK265" s="8"/>
    </row>
    <row r="266" spans="1:89" ht="19" x14ac:dyDescent="0.2">
      <c r="B266" s="1700"/>
      <c r="C266" s="38" t="s">
        <v>242</v>
      </c>
      <c r="D266" s="25"/>
      <c r="E266" s="48"/>
      <c r="F266" s="27"/>
      <c r="G266" s="27"/>
      <c r="H266" s="27">
        <f>F266*G266</f>
        <v>0</v>
      </c>
      <c r="I266" s="1374">
        <v>11</v>
      </c>
      <c r="J266" s="1375">
        <v>11</v>
      </c>
      <c r="K266" s="31" t="b">
        <f>IF(AND(F266&gt;=I266,F266&lt;=J266),TRUE,FALSE)</f>
        <v>0</v>
      </c>
      <c r="L266" s="31"/>
      <c r="M266" s="31"/>
      <c r="N266" s="31"/>
      <c r="O266" s="1351"/>
      <c r="P266" s="1374">
        <v>11</v>
      </c>
      <c r="Q266" s="1375">
        <v>11</v>
      </c>
      <c r="R266" s="1351" t="b">
        <f>IF(AND(F266&gt;=P266,F266&lt;=Q266),TRUE,FALSE)</f>
        <v>0</v>
      </c>
      <c r="S266" s="1374">
        <v>11</v>
      </c>
      <c r="T266" s="1375">
        <v>11</v>
      </c>
      <c r="U266" s="1351" t="b">
        <f>IF(AND(F266&gt;=S266,F266&lt;=T266),TRUE,FALSE)</f>
        <v>0</v>
      </c>
      <c r="V266" s="807"/>
      <c r="W266" s="821"/>
      <c r="X266" s="822"/>
      <c r="Y266" s="821"/>
      <c r="Z266" s="822"/>
      <c r="AA266" s="821"/>
      <c r="AB266" s="822"/>
      <c r="AD266" s="10"/>
      <c r="AE266" s="10"/>
      <c r="AF266" s="10"/>
      <c r="AG266" s="832">
        <f>IF(K266=TRUE,H266,0)</f>
        <v>0</v>
      </c>
      <c r="AH266" s="832">
        <f>IF(R266=TRUE,H266,0)</f>
        <v>0</v>
      </c>
      <c r="AI266" s="832">
        <f>IF(U266=TRUE,H266,0)</f>
        <v>0</v>
      </c>
      <c r="AJ266" s="1490">
        <f t="shared" ref="AJ266" si="507">IF(OR(I266=11,A266="F"),0,G266*I266)</f>
        <v>0</v>
      </c>
      <c r="AK266" s="1490">
        <f t="shared" si="502"/>
        <v>0</v>
      </c>
      <c r="AL266" s="1490">
        <f t="shared" si="503"/>
        <v>0</v>
      </c>
      <c r="AM266" s="1490">
        <f t="shared" si="504"/>
        <v>0</v>
      </c>
      <c r="AN266" s="1490">
        <f t="shared" si="505"/>
        <v>0</v>
      </c>
      <c r="AO266" s="1490">
        <f t="shared" si="506"/>
        <v>0</v>
      </c>
      <c r="AV266" s="7"/>
      <c r="AX266" s="7"/>
      <c r="AY266" s="734"/>
      <c r="AZ266" s="734"/>
      <c r="BA266" s="87"/>
      <c r="BB266" s="442"/>
      <c r="BC266" s="89"/>
      <c r="BD266" s="446"/>
      <c r="BE266" s="446"/>
      <c r="BF266" s="89"/>
      <c r="BG266" s="447"/>
      <c r="BH266" s="447"/>
      <c r="BI266" s="443"/>
      <c r="BN266" s="25"/>
      <c r="BP266" s="7"/>
      <c r="BQ266" s="7"/>
      <c r="BR266" s="7"/>
      <c r="BS266" s="7"/>
      <c r="BT266" s="7"/>
      <c r="BU266" s="7"/>
      <c r="BV266" s="7"/>
      <c r="BW266" s="7"/>
      <c r="BX266" s="7"/>
      <c r="BY266" s="7"/>
      <c r="BZ266" s="7"/>
      <c r="CA266" s="75"/>
      <c r="CD266" s="68"/>
      <c r="CE266" s="7"/>
      <c r="CF266" s="7"/>
      <c r="CG266" s="7"/>
      <c r="CH266" s="7"/>
      <c r="CJ266" s="704"/>
      <c r="CK266" s="8"/>
    </row>
    <row r="267" spans="1:89" ht="35" thickBot="1" x14ac:dyDescent="0.25">
      <c r="B267" s="1700"/>
      <c r="C267" s="716" t="s">
        <v>610</v>
      </c>
      <c r="D267" s="717" t="str">
        <f>_xlfn.XLOOKUP(H267,H265:H266,D265:D266)</f>
        <v>Le nouveau ou nouvelle conjoint·e demande à votre enfant de l'appeler maman ou papa.</v>
      </c>
      <c r="E267" s="718" t="str">
        <f>_xlfn.XLOOKUP(H267,H265:H266,E265:E266)</f>
        <v>Le nouveau conjoint.e demande à être appelé papa ou maman</v>
      </c>
      <c r="F267" s="719"/>
      <c r="G267" s="719"/>
      <c r="H267" s="713">
        <f>IF(AND(K265=TRUE,K266=FALSE),H265,IF(AND(K265=FALSE,K266=TRUE),H266,MAX(H265,H266)))</f>
        <v>4</v>
      </c>
      <c r="I267" s="1353"/>
      <c r="J267" s="720"/>
      <c r="K267" s="721" t="b">
        <f>IF(AND(K265=FALSE,K266=FALSE),FALSE,TRUE)</f>
        <v>0</v>
      </c>
      <c r="L267" s="31"/>
      <c r="M267" s="31"/>
      <c r="N267" s="31"/>
      <c r="O267" s="1351"/>
      <c r="P267" s="1353"/>
      <c r="Q267" s="720"/>
      <c r="R267" s="1366" t="b">
        <f>IF(AND(R265=FALSE,R266=FALSE),FALSE,TRUE)</f>
        <v>0</v>
      </c>
      <c r="S267" s="1353"/>
      <c r="T267" s="720"/>
      <c r="U267" s="1366" t="b">
        <f>IF(AND(U265=FALSE,U266=FALSE),FALSE,TRUE)</f>
        <v>0</v>
      </c>
      <c r="V267" s="807"/>
      <c r="W267" s="821"/>
      <c r="X267" s="822"/>
      <c r="Y267" s="821"/>
      <c r="Z267" s="822"/>
      <c r="AA267" s="821"/>
      <c r="AB267" s="822"/>
      <c r="AD267" s="10"/>
      <c r="AE267" s="10"/>
      <c r="AF267" s="10"/>
      <c r="AG267" s="1740">
        <f>IF($K267=TRUE,MAX(AG265:AG266),0)</f>
        <v>0</v>
      </c>
      <c r="AH267" s="1740">
        <f>IF($R267=TRUE,MAX(AH265:AH266),0)</f>
        <v>0</v>
      </c>
      <c r="AI267" s="1740">
        <f>IF($U267=TRUE,MAX(AI265:AI266),0)</f>
        <v>0</v>
      </c>
      <c r="AJ267" s="1739">
        <f>MAX(AJ265:AJ266)</f>
        <v>14</v>
      </c>
      <c r="AK267" s="1739">
        <f t="shared" ref="AK267" si="508">MAX(AK265:AK266)</f>
        <v>20</v>
      </c>
      <c r="AL267" s="1739">
        <f t="shared" ref="AL267" si="509">MAX(AL265:AL266)</f>
        <v>8</v>
      </c>
      <c r="AM267" s="1739">
        <f t="shared" ref="AM267" si="510">MAX(AM265:AM266)</f>
        <v>14</v>
      </c>
      <c r="AN267" s="1739">
        <f t="shared" ref="AN267" si="511">MAX(AN265:AN266)</f>
        <v>14</v>
      </c>
      <c r="AO267" s="1739">
        <f t="shared" ref="AO267" si="512">MAX(AO265:AO266)</f>
        <v>20</v>
      </c>
      <c r="AV267" s="7"/>
      <c r="AX267" s="7"/>
      <c r="AY267" s="734"/>
      <c r="AZ267" s="734"/>
      <c r="BA267" s="87"/>
      <c r="BB267" s="442"/>
      <c r="BC267" s="89"/>
      <c r="BD267" s="446"/>
      <c r="BE267" s="446"/>
      <c r="BF267" s="89"/>
      <c r="BG267" s="447"/>
      <c r="BH267" s="447"/>
      <c r="BI267" s="443"/>
      <c r="BN267" s="25"/>
      <c r="BP267" s="7"/>
      <c r="BQ267" s="7"/>
      <c r="BR267" s="7"/>
      <c r="BS267" s="7"/>
      <c r="BT267" s="7"/>
      <c r="BU267" s="7"/>
      <c r="BV267" s="7"/>
      <c r="BW267" s="7"/>
      <c r="BX267" s="7"/>
      <c r="BY267" s="7"/>
      <c r="BZ267" s="7"/>
      <c r="CA267" s="6"/>
      <c r="CB267" s="16"/>
      <c r="CD267" s="38"/>
      <c r="CG267" s="7"/>
      <c r="CH267" s="7"/>
      <c r="CI267" s="7"/>
      <c r="CJ267" s="705"/>
      <c r="CK267" s="8"/>
    </row>
    <row r="268" spans="1:89" ht="35" thickBot="1" x14ac:dyDescent="0.25">
      <c r="B268" s="1700"/>
      <c r="C268" s="722" t="s">
        <v>616</v>
      </c>
      <c r="D268" s="723"/>
      <c r="E268" s="723" t="str">
        <f>IF(H268=H264,E264,E267)</f>
        <v>Le nouveau conjoint.e demande à être appelé papa ou maman</v>
      </c>
      <c r="F268" s="724"/>
      <c r="G268" s="724"/>
      <c r="H268" s="724">
        <f>IF(AND(K264=TRUE,K267=FALSE),H264,IF(AND(K264=FALSE,K267=TRUE),H267,IF(AND(K264=TRUE,K267=TRUE),H264+H267,MAX(H264,H267))))</f>
        <v>4</v>
      </c>
      <c r="I268" s="1354"/>
      <c r="J268" s="725"/>
      <c r="K268" s="726" t="b">
        <f>IF(AND(K264=FALSE,K267=FALSE),FALSE,TRUE)</f>
        <v>0</v>
      </c>
      <c r="L268" s="1338"/>
      <c r="M268" s="1338"/>
      <c r="N268" s="1338"/>
      <c r="O268" s="1355"/>
      <c r="P268" s="1354"/>
      <c r="Q268" s="725"/>
      <c r="R268" s="726" t="b">
        <f>IF(AND(R264=FALSE,R267=FALSE),FALSE,TRUE)</f>
        <v>0</v>
      </c>
      <c r="S268" s="1354"/>
      <c r="T268" s="725"/>
      <c r="U268" s="726" t="b">
        <f>IF(AND(U264=FALSE,U267=FALSE),FALSE,TRUE)</f>
        <v>0</v>
      </c>
      <c r="V268" s="807"/>
      <c r="W268" s="821" t="str">
        <f>IF(K268=TRUE,"V","F")</f>
        <v>F</v>
      </c>
      <c r="X268" s="822"/>
      <c r="Y268" s="821" t="str">
        <f>IF(R268=TRUE,"V","F")</f>
        <v>F</v>
      </c>
      <c r="Z268" s="822"/>
      <c r="AA268" s="821" t="str">
        <f>IF(U268=TRUE,"V","F")</f>
        <v>F</v>
      </c>
      <c r="AB268" s="822"/>
      <c r="AC268" t="str">
        <f>IF(OR(W268="V",Y268="V"),IF(H267&gt;H264,"Le NC contribue plus que le coparent","Le coparent joue un plus grand rôle que le NC"),"pas de contexte significatif de la part du coparent et NC")</f>
        <v>pas de contexte significatif de la part du coparent et NC</v>
      </c>
      <c r="AD268" s="10"/>
      <c r="AE268" s="10"/>
      <c r="AF268" s="10"/>
      <c r="AG268" s="591">
        <f>IF(AND($K264=TRUE,$K267=FALSE),AG264,IF(AND($K264=FALSE,$K267=TRUE),AG267,IF(AND($K264=TRUE,$K267=TRUE),AG264+AG267,0)))</f>
        <v>0</v>
      </c>
      <c r="AH268" s="591">
        <f>IF(AND($R264=TRUE,$R267=FALSE),AH264,IF(AND($R264=FALSE,$R267=TRUE),AH267,IF(AND($R264=TRUE,$R267=TRUE),AH264+AH267,0)))</f>
        <v>0</v>
      </c>
      <c r="AI268" s="591">
        <f>IF(AND($U264=TRUE,$U267=FALSE),AI264,IF(AND($U264=FALSE,$U267=TRUE),AI267,IF(AND($U264=TRUE,$U267=TRUE),AI264+AI267,0)))</f>
        <v>0</v>
      </c>
      <c r="AJ268" s="591">
        <f>IF(AND($K264=TRUE,$K267=FALSE),AJ264,IF(AND($K264=FALSE,$K267=TRUE),AJ267,IF(AND($K264=TRUE,$K267=TRUE),AJ264+AJ267,MAX(AJ264,AJ267))))</f>
        <v>14</v>
      </c>
      <c r="AK268" s="591">
        <f>IF(AND($K264=TRUE,$K267=FALSE),AK264,IF(AND($K264=FALSE,$K267=TRUE),AK267,IF(AND($K264=TRUE,$K267=TRUE),AK264+AK267,MAX(AK264,AK267))))</f>
        <v>20</v>
      </c>
      <c r="AL268" s="591">
        <f t="shared" ref="AL268" si="513">IF(AND($R264=TRUE,$R267=FALSE),AL264,IF(AND($R264=FALSE,$R267=TRUE),AL267,IF(AND($R264=TRUE,$R267=TRUE),AL264+AL267,MAX(AL264,AL267))))</f>
        <v>8</v>
      </c>
      <c r="AM268" s="591">
        <f t="shared" ref="AM268" si="514">IF(AND($R264=TRUE,$R267=FALSE),AM264,IF(AND($R264=FALSE,$R267=TRUE),AM267,IF(AND($R264=TRUE,$R267=TRUE),AM264+AM267,MAX(AM264,AM267))))</f>
        <v>14</v>
      </c>
      <c r="AN268" s="591">
        <f t="shared" ref="AN268" si="515">IF(AND($U264=TRUE,$U267=FALSE),AN264,IF(AND($U264=FALSE,$U267=TRUE),AN267,IF(AND($U264=TRUE,$U267=TRUE),AN264+AN267,MAX(AN264,AN267))))</f>
        <v>14</v>
      </c>
      <c r="AO268" s="591">
        <f t="shared" ref="AO268" si="516">IF(AND($U264=TRUE,$U267=FALSE),AO264,IF(AND($U264=FALSE,$U267=TRUE),AO267,IF(AND($U264=TRUE,$U267=TRUE),AO264+AO267,MAX(AO264,AO267))))</f>
        <v>20</v>
      </c>
      <c r="AV268" s="7"/>
      <c r="AX268" s="7"/>
      <c r="AY268" s="734"/>
      <c r="AZ268" s="734"/>
      <c r="BA268" s="87"/>
      <c r="BB268" s="442"/>
      <c r="BC268" s="89"/>
      <c r="BD268" s="446"/>
      <c r="BE268" s="446"/>
      <c r="BF268" s="89"/>
      <c r="BG268" s="447"/>
      <c r="BH268" s="447"/>
      <c r="BI268" s="443"/>
      <c r="BN268" s="25"/>
      <c r="BP268" s="7"/>
      <c r="BQ268" s="7"/>
      <c r="BR268" s="7"/>
      <c r="BS268" s="7"/>
      <c r="BT268" s="7"/>
      <c r="BU268" s="7"/>
      <c r="BV268" s="7"/>
      <c r="BW268" s="7"/>
      <c r="BX268" s="7"/>
      <c r="BY268" s="7"/>
      <c r="BZ268" s="7"/>
      <c r="CA268" s="6"/>
      <c r="CB268" s="16"/>
      <c r="CD268" s="38"/>
      <c r="CG268" s="7"/>
      <c r="CH268" s="7"/>
      <c r="CI268" s="7"/>
      <c r="CJ268" s="705"/>
      <c r="CK268" s="8"/>
    </row>
    <row r="269" spans="1:89" ht="48" x14ac:dyDescent="0.2">
      <c r="A269" t="str">
        <f>IF(Test_Bible!B300="","F","O")</f>
        <v>O</v>
      </c>
      <c r="B269" s="1700" t="str">
        <f>'Cpts AR +indép + Sommaire'!S40</f>
        <v>Interférence lien affectif ou symbolique</v>
      </c>
      <c r="C269" s="287" t="str">
        <f>'Cpts AR +indép + Sommaire'!O40</f>
        <v>E20</v>
      </c>
      <c r="D269" s="25" t="str">
        <f>'Cpts AR +indép + Sommaire'!P40</f>
        <v>Votre enfant considère le nouveau ou nouvelle conjoint·e (de l'autre parent) comme son père ou sa mère.</v>
      </c>
      <c r="E269" s="78" t="s">
        <v>636</v>
      </c>
      <c r="F269" s="709">
        <f>'Cpts AR +indép + Sommaire'!Q40</f>
        <v>1</v>
      </c>
      <c r="G269" s="709">
        <f>'Cpts AR +indép + Sommaire'!R40</f>
        <v>3</v>
      </c>
      <c r="H269" s="709">
        <f>F269*G269</f>
        <v>3</v>
      </c>
      <c r="I269" s="1350">
        <v>7</v>
      </c>
      <c r="J269" s="1343">
        <v>10</v>
      </c>
      <c r="K269" s="31" t="b">
        <f>IF(AND(F269&gt;=I269,F269&lt;=J269),TRUE,FALSE)</f>
        <v>0</v>
      </c>
      <c r="L269" s="31"/>
      <c r="M269" s="31"/>
      <c r="N269" s="31"/>
      <c r="O269" s="1351"/>
      <c r="P269" s="1350">
        <v>4</v>
      </c>
      <c r="Q269" s="1343">
        <v>7</v>
      </c>
      <c r="R269" s="1351" t="b">
        <f>IF(AND(F269&gt;=P269,F269&lt;=Q269),TRUE,FALSE)</f>
        <v>0</v>
      </c>
      <c r="S269" s="1350"/>
      <c r="T269" s="1343"/>
      <c r="U269" s="1351"/>
      <c r="V269" s="807"/>
      <c r="W269" s="821" t="s">
        <v>753</v>
      </c>
      <c r="X269" s="822"/>
      <c r="Y269" s="821"/>
      <c r="Z269" s="822"/>
      <c r="AA269" s="821"/>
      <c r="AB269" s="822"/>
      <c r="AD269" s="10"/>
      <c r="AE269" s="10"/>
      <c r="AF269" s="10"/>
      <c r="AG269" s="832">
        <f>IF($K269=TRUE,H269,0)</f>
        <v>0</v>
      </c>
      <c r="AH269" s="832">
        <f>IF($R269=TRUE,H269,0)</f>
        <v>0</v>
      </c>
      <c r="AI269" s="832"/>
      <c r="AJ269" s="1490">
        <f t="shared" ref="AJ269:AJ270" si="517">IF(OR(I269=11,A269="F"),0,G269*I269)</f>
        <v>21</v>
      </c>
      <c r="AK269" s="1490">
        <f t="shared" ref="AK269:AK270" si="518">IF(OR(J269=11,A269="F"),0,G269*J269)</f>
        <v>30</v>
      </c>
      <c r="AL269" s="1490">
        <f t="shared" ref="AL269:AL270" si="519">IF(OR(P269=11,A269="F"),0,G269*P269)</f>
        <v>12</v>
      </c>
      <c r="AM269" s="1490">
        <f t="shared" ref="AM269:AM270" si="520">IF(OR(Q269=11,A269="F"),0,G269*Q269)</f>
        <v>21</v>
      </c>
      <c r="AN269" s="1490">
        <f t="shared" ref="AN269:AN270" si="521">IF(OR(S269=11,A269="F"),0,S269*G269)</f>
        <v>0</v>
      </c>
      <c r="AO269" s="1490">
        <f t="shared" ref="AO269:AO270" si="522">IF(OR(T269=11,A269="F"),0,T269*G269)</f>
        <v>0</v>
      </c>
      <c r="AV269" s="7"/>
      <c r="AX269" s="7"/>
      <c r="AY269" s="734"/>
      <c r="AZ269" s="734"/>
      <c r="BA269" s="87"/>
      <c r="BB269" s="442"/>
      <c r="BC269" s="89"/>
      <c r="BD269" s="446"/>
      <c r="BE269" s="446"/>
      <c r="BF269" s="89"/>
      <c r="BG269" s="447"/>
      <c r="BH269" s="447"/>
      <c r="BI269" s="443"/>
      <c r="BN269" s="25"/>
      <c r="BP269" s="7"/>
      <c r="BQ269" s="7"/>
      <c r="BR269" s="7"/>
      <c r="BS269" s="7"/>
      <c r="BT269" s="7"/>
      <c r="BU269" s="7"/>
      <c r="BV269" s="7"/>
      <c r="BW269" s="7"/>
      <c r="BX269" s="7"/>
      <c r="BY269" s="7"/>
      <c r="BZ269" s="7"/>
      <c r="CA269" s="6"/>
      <c r="CB269" s="16"/>
      <c r="CD269" s="38"/>
      <c r="CG269" s="7"/>
      <c r="CH269" s="7"/>
      <c r="CI269" s="7"/>
      <c r="CJ269" s="705"/>
      <c r="CK269" s="8"/>
    </row>
    <row r="270" spans="1:89" ht="52" thickBot="1" x14ac:dyDescent="0.25">
      <c r="A270" t="str">
        <f>IF(Test_Bible!B301="","F","O")</f>
        <v>F</v>
      </c>
      <c r="B270" s="1700" t="str">
        <f>'Cpts AR +indép + Sommaire'!S41</f>
        <v>Interférence lien affectif ou symbolique</v>
      </c>
      <c r="C270" s="287" t="str">
        <f>'Cpts AR +indép + Sommaire'!O41</f>
        <v>E20a</v>
      </c>
      <c r="D270" s="25" t="str">
        <f>'Cpts AR +indép + Sommaire'!P41</f>
        <v>Dans quelle mesure la présence du nouveau ou nouvelle conjoint·e apporte-t-elle chez votre enfant une confusion au niveau des rôles parentaux ?</v>
      </c>
      <c r="E270" s="78"/>
      <c r="F270" s="709">
        <f>'Cpts AR +indép + Sommaire'!Q41</f>
        <v>0</v>
      </c>
      <c r="G270" s="709">
        <f>'Cpts AR +indép + Sommaire'!R41</f>
        <v>1</v>
      </c>
      <c r="H270" s="709">
        <f>F270*G270</f>
        <v>0</v>
      </c>
      <c r="I270" s="1350">
        <v>7</v>
      </c>
      <c r="J270" s="1343">
        <v>10</v>
      </c>
      <c r="K270" s="31" t="b">
        <f>IF(AND(F270&gt;=I270,F270&lt;=J270),TRUE,FALSE)</f>
        <v>0</v>
      </c>
      <c r="L270" s="31"/>
      <c r="M270" s="31"/>
      <c r="N270" s="31"/>
      <c r="O270" s="1351"/>
      <c r="P270" s="1350">
        <v>4</v>
      </c>
      <c r="Q270" s="1343">
        <v>7</v>
      </c>
      <c r="R270" s="1351" t="b">
        <f>IF(AND(F270&gt;=P270,F270&lt;=Q270),TRUE,FALSE)</f>
        <v>0</v>
      </c>
      <c r="S270" s="1374"/>
      <c r="T270" s="1375"/>
      <c r="U270" s="1351"/>
      <c r="V270" s="807"/>
      <c r="W270" s="821"/>
      <c r="X270" s="822"/>
      <c r="Y270" s="821"/>
      <c r="Z270" s="822"/>
      <c r="AA270" s="821"/>
      <c r="AB270" s="822"/>
      <c r="AD270" s="10"/>
      <c r="AE270" s="10"/>
      <c r="AF270" s="10"/>
      <c r="AG270" s="832">
        <f>IF($K270=TRUE,H270,0)</f>
        <v>0</v>
      </c>
      <c r="AH270" s="832">
        <f>IF($R270=TRUE,H270,0)</f>
        <v>0</v>
      </c>
      <c r="AI270" s="832"/>
      <c r="AJ270" s="1490">
        <f t="shared" si="517"/>
        <v>0</v>
      </c>
      <c r="AK270" s="1490">
        <f t="shared" si="518"/>
        <v>0</v>
      </c>
      <c r="AL270" s="1490">
        <f t="shared" si="519"/>
        <v>0</v>
      </c>
      <c r="AM270" s="1490">
        <f t="shared" si="520"/>
        <v>0</v>
      </c>
      <c r="AN270" s="1490">
        <f t="shared" si="521"/>
        <v>0</v>
      </c>
      <c r="AO270" s="1490">
        <f t="shared" si="522"/>
        <v>0</v>
      </c>
      <c r="AV270" s="7"/>
      <c r="AX270" s="7"/>
      <c r="AY270" s="734"/>
      <c r="AZ270" s="734"/>
      <c r="BA270" s="87"/>
      <c r="BB270" s="442"/>
      <c r="BC270" s="89"/>
      <c r="BD270" s="446"/>
      <c r="BE270" s="446"/>
      <c r="BF270" s="89"/>
      <c r="BG270" s="447"/>
      <c r="BH270" s="447"/>
      <c r="BI270" s="443"/>
      <c r="BN270" s="25"/>
      <c r="BP270" s="7"/>
      <c r="BQ270" s="7"/>
      <c r="BR270" s="7"/>
      <c r="BS270" s="7"/>
      <c r="BT270" s="7"/>
      <c r="BU270" s="7"/>
      <c r="BV270" s="7"/>
      <c r="BW270" s="7"/>
      <c r="BX270" s="7"/>
      <c r="BY270" s="7"/>
      <c r="BZ270" s="7"/>
      <c r="CA270" s="6"/>
      <c r="CB270" s="16"/>
      <c r="CD270" s="38"/>
      <c r="CG270" s="7"/>
      <c r="CH270" s="7"/>
      <c r="CI270" s="7"/>
      <c r="CJ270" s="705"/>
      <c r="CK270" s="8"/>
    </row>
    <row r="271" spans="1:89" ht="35" thickBot="1" x14ac:dyDescent="0.25">
      <c r="B271" s="1700"/>
      <c r="C271" s="727" t="s">
        <v>611</v>
      </c>
      <c r="D271" s="728" t="str">
        <f>_xlfn.XLOOKUP(H271,H269:H270,D269:D270)</f>
        <v>Votre enfant considère le nouveau ou nouvelle conjoint·e (de l'autre parent) comme son père ou sa mère.</v>
      </c>
      <c r="E271" s="728" t="str">
        <f>_xlfn.XLOOKUP(H271,H269:H270,E269:E270)</f>
        <v>considère le nouveau conjoint.e comme son père ou sa mère</v>
      </c>
      <c r="F271" s="729"/>
      <c r="G271" s="729"/>
      <c r="H271" s="729">
        <f>IF(AND(K269=TRUE,K270=FALSE),H269,IF(AND(K269=FALSE,K270=TRUE),H270,MAX(H269,H270)))</f>
        <v>3</v>
      </c>
      <c r="I271" s="1356"/>
      <c r="J271" s="730"/>
      <c r="K271" s="731" t="b">
        <f>IF(AND(K269=FALSE,K270=FALSE),FALSE,TRUE)</f>
        <v>0</v>
      </c>
      <c r="L271" s="1339"/>
      <c r="M271" s="1339"/>
      <c r="N271" s="1339"/>
      <c r="O271" s="1357"/>
      <c r="P271" s="1356"/>
      <c r="Q271" s="730"/>
      <c r="R271" s="731" t="b">
        <f>IF(AND(R269=FALSE,R270=FALSE),FALSE,TRUE)</f>
        <v>0</v>
      </c>
      <c r="S271" s="1356"/>
      <c r="T271" s="730"/>
      <c r="U271" s="731"/>
      <c r="V271" s="807"/>
      <c r="W271" s="821" t="str">
        <f>IF(K271=TRUE,"V","F")</f>
        <v>F</v>
      </c>
      <c r="X271" s="822"/>
      <c r="Y271" s="821" t="str">
        <f>IF(R271=TRUE,"V","F")</f>
        <v>F</v>
      </c>
      <c r="Z271" s="822"/>
      <c r="AA271" s="821"/>
      <c r="AB271" s="822"/>
      <c r="AD271" s="10"/>
      <c r="AE271" s="10"/>
      <c r="AF271" s="10"/>
      <c r="AG271" s="1742">
        <f>IF(AND($K269=TRUE,$K270=FALSE),AG269,IF(AND($K269=FALSE,$K270=TRUE),AG270,IF(AND($K269=TRUE,$K270=TRUE),MAX(AG269,AG270),0)))</f>
        <v>0</v>
      </c>
      <c r="AH271" s="1742">
        <f>IF(AND($R269=TRUE,$R270=FALSE),AH269,IF(AND($R269=FALSE,$R270=TRUE),AH270,IF(AND($R269=TRUE,$R270=TRUE),MAX(AH269,AH270),0)))</f>
        <v>0</v>
      </c>
      <c r="AI271" s="1742"/>
      <c r="AJ271" s="1742">
        <f>IF(AND($K269=TRUE,$K270=FALSE),AJ269,IF(AND($K269=FALSE,$K270=TRUE),AJ270,IF(AND($K269=TRUE,$K270=TRUE),MAX(AJ269,AJ270),0)))</f>
        <v>0</v>
      </c>
      <c r="AK271" s="1742">
        <f>IF(AND($K269=TRUE,$K270=FALSE),AK269,IF(AND($K269=FALSE,$K270=TRUE),AK270,IF(AND($K269=TRUE,$K270=TRUE),MAX(AK269,AK270),0)))</f>
        <v>0</v>
      </c>
      <c r="AL271" s="1742">
        <f t="shared" ref="AL271" si="523">IF(AND($R269=TRUE,$R270=FALSE),AL269,IF(AND($R269=FALSE,$R270=TRUE),AL270,IF(AND($R269=TRUE,$R270=TRUE),MAX(AL269,AL270),0)))</f>
        <v>0</v>
      </c>
      <c r="AM271" s="1742">
        <f t="shared" ref="AM271" si="524">IF(AND($R269=TRUE,$R270=FALSE),AM269,IF(AND($R269=FALSE,$R270=TRUE),AM270,IF(AND($R269=TRUE,$R270=TRUE),MAX(AM269,AM270),0)))</f>
        <v>0</v>
      </c>
      <c r="AN271" s="1742"/>
      <c r="AO271" s="1742"/>
      <c r="AY271" s="734"/>
      <c r="AZ271" s="734"/>
      <c r="BA271" s="87"/>
      <c r="BB271" s="442"/>
      <c r="BC271" s="89"/>
      <c r="BD271" s="446"/>
      <c r="BE271" s="446"/>
      <c r="BF271" s="89"/>
      <c r="BG271" s="447"/>
      <c r="BH271" s="447"/>
      <c r="BI271" s="443"/>
      <c r="CA271" s="15"/>
      <c r="CB271" s="16"/>
      <c r="CD271" s="68" t="s">
        <v>304</v>
      </c>
      <c r="CG271" s="7" t="s">
        <v>290</v>
      </c>
      <c r="CJ271" s="704" t="s">
        <v>305</v>
      </c>
      <c r="CK271" s="8" t="b">
        <v>1</v>
      </c>
    </row>
    <row r="272" spans="1:89" ht="34" x14ac:dyDescent="0.2">
      <c r="B272" s="1700"/>
      <c r="D272" s="386" t="s">
        <v>273</v>
      </c>
      <c r="E272" s="705"/>
      <c r="F272" s="439" t="s">
        <v>349</v>
      </c>
      <c r="G272" s="33"/>
      <c r="H272" s="33">
        <f>IF(AND(K268=TRUE,K271=FALSE),H268,IF(AND(K268=FALSE,K271=TRUE),H271,IF(AND(K268=TRUE,K271=TRUE),H268+H271,MAX(H268,H271))))</f>
        <v>4</v>
      </c>
      <c r="I272" s="1358"/>
      <c r="J272" s="440"/>
      <c r="K272" s="1341"/>
      <c r="L272" s="1342" t="str">
        <f>IF(AND(K271=TRUE,K268=TRUE),E271,"")</f>
        <v/>
      </c>
      <c r="M272" s="1342" t="str">
        <f>IF(AND(K268=TRUE,K271=FALSE),"Bien que le parent "&amp;E268&amp;" l'enfant ne semble pas s'ingérer","")</f>
        <v/>
      </c>
      <c r="N272" s="1342" t="str">
        <f>IF(AND(K268=FALSE,K271=TRUE),E271&amp;" sans signe de la participation du parent favorisé et|ou nouveau conjoint.e","")</f>
        <v/>
      </c>
      <c r="O272" s="1359" t="str">
        <f>IF(AND(K268=FALSE,K271=FALSE),"aucun comportement significatif de cette nature","")</f>
        <v>aucun comportement significatif de cette nature</v>
      </c>
      <c r="P272" s="1358"/>
      <c r="Q272" s="440"/>
      <c r="R272" s="1367"/>
      <c r="S272" s="1358"/>
      <c r="T272" s="440"/>
      <c r="U272" s="1367"/>
      <c r="V272" s="145"/>
      <c r="W272" s="823"/>
      <c r="X272" s="824">
        <f>IF(AND(W268="V",W271="V"),2,IF(OR(W268="V",W271="V"),1,0))</f>
        <v>0</v>
      </c>
      <c r="Y272" s="823"/>
      <c r="Z272" s="824">
        <f>IF(OR(Y268="V",Y271="V"),1,0)</f>
        <v>0</v>
      </c>
      <c r="AA272" s="823"/>
      <c r="AB272" s="824"/>
      <c r="AD272" s="10"/>
      <c r="AE272" s="10"/>
      <c r="AF272" s="10"/>
      <c r="AG272" s="1738">
        <f>IF(AND($W268="V",$W271="F"),AG268,IF(AND($W268="F",$W271="V"),AG271,IF(AND($W268="V",$W271="V"),AG268+AG271,0)))</f>
        <v>0</v>
      </c>
      <c r="AH272" s="1738">
        <f>IF(AND($Y268="V",$Y271="F"),AH268,IF(AND($Y268="F",$Y271="V"),AH271,IF(AND($Y268="V",$Y271="V"),AH268+AH271,0)))</f>
        <v>0</v>
      </c>
      <c r="AI272" s="1738"/>
      <c r="AJ272" s="1738">
        <f>IF(AND($W268="V",$W271="F"),AJ268,IF(AND($W268="F",$W271="V"),AJ271,IF(AND($W268="V",$W271="V"),AJ268+AJ271,0)))</f>
        <v>0</v>
      </c>
      <c r="AK272" s="1738">
        <f>IF(AND($W268="V",$W271="F"),AK268,IF(AND($W268="F",$W271="V"),AK271,IF(AND($W268="V",$W271="V"),AK268+AK271,0)))</f>
        <v>0</v>
      </c>
      <c r="AL272" s="1738">
        <f>IF(AND($Y268="V",$Y271="F"),AL268,IF(AND($Y268="F",$Y271="V"),AL271,IF(AND($Y268="V",$Y271="V"),AL268+AL271,0)))</f>
        <v>0</v>
      </c>
      <c r="AM272" s="1738">
        <f>IF(AND($Y268="V",$Y271="F"),AM268,IF(AND($Y268="F",$Y271="V"),AM271,IF(AND($Y268="V",$Y271="V"),AM268+AM271,0)))</f>
        <v>0</v>
      </c>
      <c r="AN272" s="1738"/>
      <c r="AO272" s="1738"/>
      <c r="AY272" s="734"/>
      <c r="AZ272" s="734"/>
      <c r="BA272" s="87"/>
      <c r="BB272" s="442"/>
      <c r="BC272" s="89"/>
      <c r="BD272" s="446"/>
      <c r="BE272" s="446"/>
      <c r="BF272" s="89"/>
      <c r="BG272" s="447"/>
      <c r="BH272" s="447"/>
      <c r="BI272" s="443"/>
    </row>
    <row r="273" spans="1:78" ht="19" x14ac:dyDescent="0.2">
      <c r="B273" s="1700"/>
      <c r="C273" t="s">
        <v>238</v>
      </c>
      <c r="I273" s="122"/>
      <c r="L273" s="32"/>
      <c r="M273" s="32"/>
      <c r="N273" s="32"/>
      <c r="O273" s="1379"/>
      <c r="P273" s="122"/>
      <c r="R273" s="292"/>
      <c r="S273" s="122"/>
      <c r="U273" s="292"/>
      <c r="V273" s="32"/>
      <c r="W273" s="821"/>
      <c r="X273" s="822"/>
      <c r="Y273" s="821"/>
      <c r="Z273" s="822"/>
      <c r="AA273" s="821"/>
      <c r="AB273" s="822"/>
      <c r="AD273" s="10"/>
      <c r="AE273" s="10"/>
      <c r="AF273" s="10"/>
      <c r="AG273" s="832"/>
      <c r="AH273" s="832"/>
      <c r="AI273" s="832"/>
      <c r="AJ273" s="1490"/>
      <c r="AK273" s="1490"/>
      <c r="AL273" s="1490"/>
      <c r="AM273" s="1490"/>
      <c r="AN273" s="1490"/>
      <c r="AO273" s="1490"/>
      <c r="AY273" s="734"/>
      <c r="AZ273" s="734"/>
      <c r="BA273" s="87"/>
      <c r="BB273" s="442"/>
      <c r="BC273" s="89"/>
      <c r="BD273" s="446"/>
      <c r="BE273" s="446"/>
      <c r="BF273" s="89"/>
      <c r="BG273" s="447"/>
      <c r="BH273" s="447"/>
      <c r="BI273" s="443"/>
    </row>
    <row r="274" spans="1:78" ht="19" x14ac:dyDescent="0.2">
      <c r="B274" s="1700"/>
      <c r="C274" s="825"/>
      <c r="D274" s="829"/>
      <c r="E274" s="826"/>
      <c r="F274" s="830"/>
      <c r="G274" s="830"/>
      <c r="H274" s="830">
        <f>F274*G274</f>
        <v>0</v>
      </c>
      <c r="I274" s="1374">
        <v>11</v>
      </c>
      <c r="J274" s="1375">
        <v>11</v>
      </c>
      <c r="K274" s="31" t="b">
        <f>IF(AND(F274&gt;=I274,F274&lt;=J274),TRUE,FALSE)</f>
        <v>0</v>
      </c>
      <c r="L274" s="26"/>
      <c r="M274" s="26"/>
      <c r="N274" s="26"/>
      <c r="O274" s="1360"/>
      <c r="P274" s="1374">
        <v>11</v>
      </c>
      <c r="Q274" s="1375">
        <v>11</v>
      </c>
      <c r="R274" s="1351" t="b">
        <f>IF(AND(F274&gt;=P274,F274&lt;=Q274),TRUE,FALSE)</f>
        <v>0</v>
      </c>
      <c r="S274" s="1374">
        <v>11</v>
      </c>
      <c r="T274" s="1375">
        <v>11</v>
      </c>
      <c r="U274" s="1351" t="b">
        <f>IF(AND(F274&gt;=S274,F274&lt;=T274),TRUE,FALSE)</f>
        <v>0</v>
      </c>
      <c r="V274" s="32"/>
      <c r="W274" s="821"/>
      <c r="X274" s="822"/>
      <c r="Y274" s="821"/>
      <c r="Z274" s="822"/>
      <c r="AA274" s="821"/>
      <c r="AB274" s="822"/>
      <c r="AD274" s="10"/>
      <c r="AE274" s="10"/>
      <c r="AF274" s="10"/>
      <c r="AG274" s="832">
        <f>IF($K274=TRUE,H274,0)</f>
        <v>0</v>
      </c>
      <c r="AH274" s="832">
        <f>IF($R274=TRUE,H274,0)</f>
        <v>0</v>
      </c>
      <c r="AI274" s="832">
        <f>IF($U274=TRUE,H274,0)</f>
        <v>0</v>
      </c>
      <c r="AJ274" s="1490">
        <f t="shared" ref="AJ274:AJ275" si="525">IF(OR(I274=11,A274="F"),0,G274*I274)</f>
        <v>0</v>
      </c>
      <c r="AK274" s="1490">
        <f t="shared" ref="AK274:AK275" si="526">IF(OR(J274=11,A274="F"),0,G274*J274)</f>
        <v>0</v>
      </c>
      <c r="AL274" s="1490">
        <f t="shared" ref="AL274:AL275" si="527">IF(OR(P274=11,A274="F"),0,G274*P274)</f>
        <v>0</v>
      </c>
      <c r="AM274" s="1490">
        <f t="shared" ref="AM274:AM275" si="528">IF(OR(Q274=11,A274="F"),0,G274*Q274)</f>
        <v>0</v>
      </c>
      <c r="AN274" s="1490">
        <f t="shared" ref="AN274:AN275" si="529">IF(OR(S274=11,A274="F"),0,S274*G274)</f>
        <v>0</v>
      </c>
      <c r="AO274" s="1490">
        <f t="shared" ref="AO274:AO275" si="530">IF(OR(T274=11,A274="F"),0,T274*G274)</f>
        <v>0</v>
      </c>
      <c r="AY274" s="734"/>
      <c r="AZ274" s="734"/>
      <c r="BA274" s="87"/>
      <c r="BB274" s="442"/>
      <c r="BC274" s="89"/>
      <c r="BD274" s="446"/>
      <c r="BE274" s="446"/>
      <c r="BF274" s="89"/>
      <c r="BG274" s="447"/>
      <c r="BH274" s="447"/>
      <c r="BI274" s="443"/>
    </row>
    <row r="275" spans="1:78" ht="20" thickBot="1" x14ac:dyDescent="0.25">
      <c r="B275" s="1700"/>
      <c r="C275" s="825"/>
      <c r="D275" s="829"/>
      <c r="E275" s="826"/>
      <c r="F275" s="830"/>
      <c r="G275" s="830"/>
      <c r="H275" s="830">
        <f>F275*G275</f>
        <v>0</v>
      </c>
      <c r="I275" s="1374">
        <v>11</v>
      </c>
      <c r="J275" s="1375">
        <v>11</v>
      </c>
      <c r="K275" s="31" t="b">
        <f>IF(AND(F275&gt;=I275,F275&lt;=J275),TRUE,FALSE)</f>
        <v>0</v>
      </c>
      <c r="L275" s="26"/>
      <c r="M275" s="26"/>
      <c r="N275" s="26"/>
      <c r="O275" s="1360"/>
      <c r="P275" s="1374">
        <v>11</v>
      </c>
      <c r="Q275" s="1375">
        <v>11</v>
      </c>
      <c r="R275" s="1351" t="b">
        <f>IF(AND(F275&gt;=P275,F275&lt;=Q275),TRUE,FALSE)</f>
        <v>0</v>
      </c>
      <c r="S275" s="1374">
        <v>11</v>
      </c>
      <c r="T275" s="1375">
        <v>11</v>
      </c>
      <c r="U275" s="1351" t="b">
        <f>IF(AND(F275&gt;=S275,F275&lt;=T275),TRUE,FALSE)</f>
        <v>0</v>
      </c>
      <c r="W275" s="821"/>
      <c r="X275" s="822"/>
      <c r="Y275" s="821"/>
      <c r="Z275" s="822"/>
      <c r="AA275" s="821"/>
      <c r="AB275" s="822"/>
      <c r="AD275" s="10"/>
      <c r="AE275" s="10"/>
      <c r="AF275" s="10"/>
      <c r="AG275" s="832">
        <f>IF($K275=TRUE,H275,0)</f>
        <v>0</v>
      </c>
      <c r="AH275" s="832">
        <f>IF($R275=TRUE,H275,0)</f>
        <v>0</v>
      </c>
      <c r="AI275" s="832">
        <f>IF($U275=TRUE,H275,0)</f>
        <v>0</v>
      </c>
      <c r="AJ275" s="1490">
        <f t="shared" si="525"/>
        <v>0</v>
      </c>
      <c r="AK275" s="1490">
        <f t="shared" si="526"/>
        <v>0</v>
      </c>
      <c r="AL275" s="1490">
        <f t="shared" si="527"/>
        <v>0</v>
      </c>
      <c r="AM275" s="1490">
        <f t="shared" si="528"/>
        <v>0</v>
      </c>
      <c r="AN275" s="1490">
        <f t="shared" si="529"/>
        <v>0</v>
      </c>
      <c r="AO275" s="1490">
        <f t="shared" si="530"/>
        <v>0</v>
      </c>
      <c r="AY275" s="734"/>
      <c r="AZ275" s="734"/>
      <c r="BA275" s="87"/>
      <c r="BB275" s="442"/>
      <c r="BC275" s="89"/>
      <c r="BD275" s="446"/>
      <c r="BE275" s="446"/>
      <c r="BF275" s="89"/>
      <c r="BG275" s="447"/>
      <c r="BH275" s="447"/>
      <c r="BI275" s="443"/>
    </row>
    <row r="276" spans="1:78" ht="22" thickBot="1" x14ac:dyDescent="0.25">
      <c r="B276" s="1700"/>
      <c r="D276" s="16"/>
      <c r="E276" s="16"/>
      <c r="F276" s="67"/>
      <c r="G276" s="438"/>
      <c r="H276" s="33">
        <f>IF(AND(K274=TRUE,K275=FALSE),H274,IF(AND(K274=FALSE,K275=TRUE),H275,MAX(H274,H275)))</f>
        <v>0</v>
      </c>
      <c r="I276" s="1371"/>
      <c r="J276" s="1372"/>
      <c r="K276" s="1378" t="b">
        <f>IF(AND(K274=FALSE,K275=FALSE),FALSE,TRUE)</f>
        <v>0</v>
      </c>
      <c r="L276" s="1361"/>
      <c r="M276" s="1362"/>
      <c r="N276" s="1362"/>
      <c r="O276" s="1363"/>
      <c r="P276" s="1371"/>
      <c r="Q276" s="1372"/>
      <c r="R276" s="1378" t="b">
        <f>IF(AND(R274=FALSE,R275=FALSE),FALSE,TRUE)</f>
        <v>0</v>
      </c>
      <c r="S276" s="1383"/>
      <c r="T276" s="1384"/>
      <c r="U276" s="1385" t="b">
        <f>IF(AND(U274=FALSE,U275=FALSE),FALSE,TRUE)</f>
        <v>0</v>
      </c>
      <c r="V276" s="809"/>
      <c r="W276" s="1315" t="str">
        <f>IF(K276=TRUE,"V","F")</f>
        <v>F</v>
      </c>
      <c r="X276" s="1316"/>
      <c r="Y276" s="1315" t="str">
        <f>IF(R276=TRUE,"V","F")</f>
        <v>F</v>
      </c>
      <c r="Z276" s="1316"/>
      <c r="AA276" s="1315" t="str">
        <f>IF(U276=TRUE,"V","F")</f>
        <v>F</v>
      </c>
      <c r="AB276" s="1316"/>
      <c r="AD276" s="10"/>
      <c r="AE276" s="10"/>
      <c r="AF276" s="10"/>
      <c r="AG276" s="1742">
        <f>IF(AND($K274=TRUE,$K275=FALSE),AG274,IF(AND($K274=FALSE,$K275=TRUE),AG275,MAX(AG274,AG275)))</f>
        <v>0</v>
      </c>
      <c r="AH276" s="1742">
        <f>IF(AND($R274=TRUE,$R275=FALSE),AH274,IF(AND($R274=FALSE,$R275=TRUE),AH275,MAX(AH274,AH275)))</f>
        <v>0</v>
      </c>
      <c r="AI276" s="1742">
        <f>IF(AND($U274=TRUE,$U275=FALSE),AI274,IF(AND($U274=FALSE,$U275=TRUE),AI275,MAX(AI274,AI275)))</f>
        <v>0</v>
      </c>
      <c r="AJ276" s="1742">
        <f>IF(AND($K274=TRUE,$K275=FALSE),AJ274,IF(AND($K274=FALSE,$K275=TRUE),AJ275,MAX(AJ274,AJ275)))</f>
        <v>0</v>
      </c>
      <c r="AK276" s="1742">
        <f>IF(AND($K274=TRUE,$K275=FALSE),AK274,IF(AND($K274=FALSE,$K275=TRUE),AK275,MAX(AK274,AK275)))</f>
        <v>0</v>
      </c>
      <c r="AL276" s="1742">
        <f>IF(AND($R274=TRUE,$R275=FALSE),AL274,IF(AND($R274=FALSE,$R275=TRUE),AL275,MAX(AL274,AL275)))</f>
        <v>0</v>
      </c>
      <c r="AM276" s="1742">
        <f>IF(AND($R274=TRUE,$R275=FALSE),AM274,IF(AND($R274=FALSE,$R275=TRUE),AM275,MAX(AM274,AM275)))</f>
        <v>0</v>
      </c>
      <c r="AN276" s="1742">
        <f>IF(AND($U274=TRUE,$U275=FALSE),AN274,IF(AND($U274=FALSE,$U275=TRUE),AN275,MAX(AN274,AN275)))</f>
        <v>0</v>
      </c>
      <c r="AO276" s="1742">
        <f>IF(AND($U274=TRUE,$U275=FALSE),AO274,IF(AND($U274=FALSE,$U275=TRUE),AO275,MAX(AO274,AO275)))</f>
        <v>0</v>
      </c>
      <c r="AY276" s="734"/>
      <c r="AZ276" s="734"/>
      <c r="BA276" s="87"/>
      <c r="BB276" s="442"/>
      <c r="BC276" s="89"/>
      <c r="BD276" s="446"/>
      <c r="BE276" s="446"/>
      <c r="BF276" s="89"/>
      <c r="BG276" s="447"/>
      <c r="BH276" s="447"/>
      <c r="BI276" s="443"/>
    </row>
    <row r="277" spans="1:78" ht="27" thickBot="1" x14ac:dyDescent="0.35">
      <c r="D277" s="16"/>
      <c r="E277" s="16"/>
      <c r="F277" s="67"/>
      <c r="G277" s="438"/>
      <c r="H277" s="438"/>
      <c r="I277" s="8"/>
      <c r="J277" s="8"/>
      <c r="K277" s="808"/>
      <c r="L277" s="809"/>
      <c r="M277" s="809"/>
      <c r="N277" s="809"/>
      <c r="O277" s="809"/>
      <c r="P277" s="809"/>
      <c r="Q277" s="809"/>
      <c r="R277" s="809"/>
      <c r="S277" s="809"/>
      <c r="T277" s="809"/>
      <c r="U277" s="809"/>
      <c r="V277" s="809"/>
      <c r="W277" s="1376"/>
      <c r="X277" s="1377">
        <f>IF(AND(W276="V",W268="V"),X272-1,X272)</f>
        <v>0</v>
      </c>
      <c r="Y277" s="1376"/>
      <c r="Z277" s="1377">
        <f>IF(OR(Y268="V",Y271="V",Y276="V"),1,0)</f>
        <v>0</v>
      </c>
      <c r="AA277" s="1376"/>
      <c r="AB277" s="1377">
        <f>IF(AA268="V",1,IF(AA276="V",1,0))</f>
        <v>0</v>
      </c>
      <c r="AD277" s="10">
        <f>X277</f>
        <v>0</v>
      </c>
      <c r="AE277" s="10">
        <f>Z277</f>
        <v>0</v>
      </c>
      <c r="AF277" s="10">
        <f>AB277</f>
        <v>0</v>
      </c>
      <c r="AG277" s="1741">
        <f>IF($W276="F",AG272,AG272+AG276)</f>
        <v>0</v>
      </c>
      <c r="AH277" s="1741">
        <f>IF($Y276="F",AH272,AH272+AH276)</f>
        <v>0</v>
      </c>
      <c r="AI277" s="1741">
        <f>IF(AND($AA268="V",$AA276="F"),AI268,IF(AND($AA268="F",$AA276="V"),AI276,IF(AND($AA268="V",$AA276="V"),AI268+AI276,0)))</f>
        <v>0</v>
      </c>
      <c r="AJ277" s="1741">
        <f>IF($W276="F",AJ272,AJ272+AJ276)</f>
        <v>0</v>
      </c>
      <c r="AK277" s="1741">
        <f t="shared" ref="AK277" si="531">IF($W276="F",AK272,AK272+AK276)</f>
        <v>0</v>
      </c>
      <c r="AL277" s="1741">
        <f t="shared" ref="AL277" si="532">IF($Y276="F",AL272,AL272+AL276)</f>
        <v>0</v>
      </c>
      <c r="AM277" s="1741">
        <f t="shared" ref="AM277" si="533">IF($Y276="F",AM272,AM272+AM276)</f>
        <v>0</v>
      </c>
      <c r="AN277" s="1741">
        <f t="shared" ref="AN277" si="534">IF(AND($AA268="V",$AA276="F"),AN268,IF(AND($AA268="F",$AA276="V"),AN276,IF(AND($AA268="V",$AA276="V"),AN268+AN276,0)))</f>
        <v>0</v>
      </c>
      <c r="AO277" s="1741">
        <f t="shared" ref="AO277" si="535">IF(AND($AA268="V",$AA276="F"),AO268,IF(AND($AA268="F",$AA276="V"),AO276,IF(AND($AA268="V",$AA276="V"),AO268+AO276,0)))</f>
        <v>0</v>
      </c>
      <c r="AY277" s="734"/>
      <c r="AZ277" s="734"/>
      <c r="BA277" s="87"/>
      <c r="BB277" s="442"/>
      <c r="BC277" s="89"/>
      <c r="BD277" s="446"/>
      <c r="BE277" s="446"/>
      <c r="BF277" s="89"/>
      <c r="BG277" s="447"/>
      <c r="BH277" s="447"/>
      <c r="BI277" s="443"/>
    </row>
    <row r="278" spans="1:78" x14ac:dyDescent="0.3">
      <c r="E278" s="732"/>
      <c r="F278" s="73"/>
      <c r="G278" s="73"/>
      <c r="H278" s="73"/>
      <c r="I278" s="1344"/>
      <c r="J278" s="1345"/>
      <c r="K278" s="1346"/>
      <c r="L278" s="2603"/>
      <c r="M278" s="2603"/>
      <c r="N278" s="2603"/>
      <c r="O278" s="1347"/>
      <c r="P278" s="1364"/>
      <c r="Q278" s="1346"/>
      <c r="R278" s="1347"/>
      <c r="S278" s="1364"/>
      <c r="T278" s="1346"/>
      <c r="U278" s="1347"/>
      <c r="V278" s="73"/>
      <c r="W278" s="1387"/>
      <c r="X278" s="1388"/>
      <c r="Y278" s="1231"/>
      <c r="Z278" s="1231"/>
      <c r="AA278" s="1231"/>
      <c r="AB278" s="1231"/>
      <c r="AD278" s="10"/>
      <c r="AE278" s="10"/>
      <c r="AF278" s="10"/>
      <c r="AY278" s="734"/>
      <c r="AZ278" s="734"/>
      <c r="BA278" s="87"/>
      <c r="BB278" s="442"/>
      <c r="BC278" s="89"/>
      <c r="BD278" s="446"/>
      <c r="BE278" s="446"/>
      <c r="BF278" s="89"/>
      <c r="BG278" s="447"/>
      <c r="BH278" s="447"/>
      <c r="BI278" s="443"/>
    </row>
    <row r="279" spans="1:78" x14ac:dyDescent="0.3">
      <c r="B279" s="1699">
        <v>13</v>
      </c>
      <c r="D279" s="441" t="str">
        <f>'Cpts AR +indép + Sommaire'!B43</f>
        <v>Changement d'horaire de l'enfant</v>
      </c>
      <c r="E279" s="84"/>
      <c r="F279" s="50"/>
      <c r="G279" s="18"/>
      <c r="H279" s="18"/>
      <c r="I279" s="2595" t="s">
        <v>604</v>
      </c>
      <c r="J279" s="2596"/>
      <c r="K279" s="2596"/>
      <c r="L279" s="2597" t="s">
        <v>1086</v>
      </c>
      <c r="M279" s="2597"/>
      <c r="N279" s="2597"/>
      <c r="O279" s="2598"/>
      <c r="P279" s="2599" t="s">
        <v>603</v>
      </c>
      <c r="Q279" s="2600"/>
      <c r="R279" s="2601"/>
      <c r="S279" s="2590" t="s">
        <v>605</v>
      </c>
      <c r="T279" s="2591"/>
      <c r="U279" s="2592"/>
      <c r="V279" s="15"/>
      <c r="W279" s="817"/>
      <c r="X279" s="817"/>
      <c r="Y279" s="817"/>
      <c r="Z279" s="817"/>
      <c r="AA279" s="817"/>
      <c r="AB279" s="818"/>
      <c r="AD279" s="10"/>
      <c r="AE279" s="10"/>
      <c r="AF279" s="10"/>
      <c r="AG279" s="1386" t="s">
        <v>604</v>
      </c>
      <c r="AH279" s="1386" t="s">
        <v>603</v>
      </c>
      <c r="AI279" s="1386" t="s">
        <v>605</v>
      </c>
      <c r="AJ279" s="2589" t="s">
        <v>604</v>
      </c>
      <c r="AK279" s="2589"/>
      <c r="AL279" s="2589" t="s">
        <v>603</v>
      </c>
      <c r="AM279" s="2589"/>
      <c r="AN279" s="2589" t="s">
        <v>605</v>
      </c>
      <c r="AO279" s="2589"/>
      <c r="AY279" s="734"/>
      <c r="AZ279" s="734"/>
      <c r="BA279" s="87"/>
      <c r="BB279" s="442"/>
      <c r="BC279" s="89"/>
      <c r="BD279" s="446"/>
      <c r="BE279" s="446"/>
      <c r="BF279" s="89"/>
      <c r="BG279" s="447"/>
      <c r="BH279" s="447"/>
      <c r="BI279" s="443"/>
    </row>
    <row r="280" spans="1:78" ht="36" x14ac:dyDescent="0.3">
      <c r="D280" s="79" t="s">
        <v>779</v>
      </c>
      <c r="E280" s="835" t="s">
        <v>778</v>
      </c>
      <c r="F280" s="26" t="s">
        <v>226</v>
      </c>
      <c r="G280" s="26" t="s">
        <v>22</v>
      </c>
      <c r="H280" s="26" t="s">
        <v>612</v>
      </c>
      <c r="I280" s="1348" t="s">
        <v>269</v>
      </c>
      <c r="J280" s="29" t="s">
        <v>270</v>
      </c>
      <c r="K280" s="29" t="s">
        <v>271</v>
      </c>
      <c r="L280" s="29" t="s">
        <v>363</v>
      </c>
      <c r="M280" s="29" t="s">
        <v>339</v>
      </c>
      <c r="N280" s="29" t="s">
        <v>340</v>
      </c>
      <c r="O280" s="1349" t="s">
        <v>341</v>
      </c>
      <c r="P280" s="1348" t="s">
        <v>269</v>
      </c>
      <c r="Q280" s="29" t="s">
        <v>270</v>
      </c>
      <c r="R280" s="1349" t="s">
        <v>271</v>
      </c>
      <c r="S280" s="1348" t="s">
        <v>269</v>
      </c>
      <c r="T280" s="29" t="s">
        <v>270</v>
      </c>
      <c r="U280" s="1349" t="s">
        <v>271</v>
      </c>
      <c r="V280" s="736"/>
      <c r="W280" s="827" t="s">
        <v>604</v>
      </c>
      <c r="X280" s="828" t="s">
        <v>754</v>
      </c>
      <c r="Y280" s="827" t="s">
        <v>603</v>
      </c>
      <c r="Z280" s="828" t="s">
        <v>755</v>
      </c>
      <c r="AA280" s="827" t="s">
        <v>605</v>
      </c>
      <c r="AB280" s="828" t="s">
        <v>756</v>
      </c>
      <c r="AD280" s="10"/>
      <c r="AE280" s="10"/>
      <c r="AF280" s="10"/>
      <c r="AG280" s="10"/>
      <c r="AH280" s="10"/>
      <c r="AI280" s="10"/>
      <c r="AJ280" s="1490" t="s">
        <v>1058</v>
      </c>
      <c r="AK280" s="1490" t="s">
        <v>1059</v>
      </c>
      <c r="AL280" s="1490" t="s">
        <v>1058</v>
      </c>
      <c r="AM280" s="1490" t="s">
        <v>1059</v>
      </c>
      <c r="AN280" s="1490" t="s">
        <v>1058</v>
      </c>
      <c r="AO280" s="1490" t="s">
        <v>1059</v>
      </c>
      <c r="AY280" s="734"/>
      <c r="AZ280" s="734"/>
      <c r="BA280" s="87"/>
      <c r="BB280" s="442"/>
      <c r="BC280" s="89"/>
      <c r="BD280" s="446"/>
      <c r="BE280" s="446"/>
      <c r="BF280" s="89"/>
      <c r="BG280" s="447"/>
      <c r="BH280" s="447"/>
      <c r="BI280" s="443"/>
    </row>
    <row r="281" spans="1:78" ht="51" x14ac:dyDescent="0.2">
      <c r="A281" t="str">
        <f>IF(Test_Bible!B193="","F","O")</f>
        <v>O</v>
      </c>
      <c r="B281" s="1700" t="str">
        <f>'Cpts AR +indép + Sommaire'!G43</f>
        <v>Interférence temps et/ou communication</v>
      </c>
      <c r="C281" s="379" t="str">
        <f>'Cpts AR +indép + Sommaire'!C43</f>
        <v>PFA16</v>
      </c>
      <c r="D281" s="25" t="str">
        <f>'Cpts AR +indép + Sommaire'!D43</f>
        <v>L'autre parent impose des changements d’horaires sans vous consulter au préalable et sans votre autorisation.</v>
      </c>
      <c r="E281" s="78" t="s">
        <v>615</v>
      </c>
      <c r="F281" s="709">
        <f>'Cpts AR +indép + Sommaire'!E43</f>
        <v>7</v>
      </c>
      <c r="G281" s="709">
        <f>'Cpts AR +indép + Sommaire'!F43</f>
        <v>2</v>
      </c>
      <c r="H281" s="709">
        <f>F281*G281</f>
        <v>14</v>
      </c>
      <c r="I281" s="1350">
        <v>4</v>
      </c>
      <c r="J281" s="1343">
        <v>10</v>
      </c>
      <c r="K281" s="31" t="b">
        <f>IF(AND(F281&gt;=I281,F281&lt;=J281),TRUE,FALSE)</f>
        <v>1</v>
      </c>
      <c r="L281" s="31"/>
      <c r="M281" s="31"/>
      <c r="N281" s="31"/>
      <c r="O281" s="1351"/>
      <c r="P281" s="1374">
        <v>11</v>
      </c>
      <c r="Q281" s="1375">
        <v>11</v>
      </c>
      <c r="R281" s="1351" t="b">
        <f>IF(AND(F281&gt;=P281,F281&lt;=Q281),TRUE,FALSE)</f>
        <v>0</v>
      </c>
      <c r="S281" s="1350">
        <v>4</v>
      </c>
      <c r="T281" s="1343">
        <v>7</v>
      </c>
      <c r="U281" s="1351" t="b">
        <f>IF(AND(F281&gt;=S281,F281&lt;=T281),TRUE,FALSE)</f>
        <v>1</v>
      </c>
      <c r="V281" s="1327"/>
      <c r="W281" s="819"/>
      <c r="X281" s="820"/>
      <c r="Y281" s="819"/>
      <c r="Z281" s="820"/>
      <c r="AA281" s="819"/>
      <c r="AB281" s="820"/>
      <c r="AD281" s="10"/>
      <c r="AE281" s="10"/>
      <c r="AF281" s="10"/>
      <c r="AG281" s="832">
        <f>IF($K281=TRUE,H281,0)</f>
        <v>14</v>
      </c>
      <c r="AH281" s="832">
        <f>IF($R281=TRUE,H281,0)</f>
        <v>0</v>
      </c>
      <c r="AI281" s="832">
        <f>IF($U281=TRUE,H281,0)</f>
        <v>14</v>
      </c>
      <c r="AJ281" s="1490">
        <f t="shared" ref="AJ281:AJ282" si="536">IF(OR(I281=11,A281="F"),0,G281*I281)</f>
        <v>8</v>
      </c>
      <c r="AK281" s="1490">
        <f t="shared" ref="AK281:AK282" si="537">IF(OR(J281=11,A281="F"),0,G281*J281)</f>
        <v>20</v>
      </c>
      <c r="AL281" s="1490">
        <f t="shared" ref="AL281:AL282" si="538">IF(OR(P281=11,A281="F"),0,G281*P281)</f>
        <v>0</v>
      </c>
      <c r="AM281" s="1490">
        <f t="shared" ref="AM281:AM282" si="539">IF(OR(Q281=11,A281="F"),0,G281*Q281)</f>
        <v>0</v>
      </c>
      <c r="AN281" s="1490">
        <f t="shared" ref="AN281:AN282" si="540">IF(OR(S281=11,A281="F"),0,S281*G281)</f>
        <v>8</v>
      </c>
      <c r="AO281" s="1490">
        <f t="shared" ref="AO281:AO282" si="541">IF(OR(T281=11,A281="F"),0,T281*G281)</f>
        <v>14</v>
      </c>
      <c r="AY281" s="734"/>
      <c r="AZ281" s="734"/>
      <c r="BA281" s="87"/>
      <c r="BB281" s="442"/>
      <c r="BC281" s="89"/>
      <c r="BD281" s="446"/>
      <c r="BE281" s="446"/>
      <c r="BF281" s="89"/>
      <c r="BG281" s="447"/>
      <c r="BH281" s="447"/>
      <c r="BI281" s="443"/>
    </row>
    <row r="282" spans="1:78" ht="48" x14ac:dyDescent="0.2">
      <c r="A282" t="str">
        <f>IF(Test_Bible!B194="","F","O")</f>
        <v>O</v>
      </c>
      <c r="B282" s="1700" t="str">
        <f>'Cpts AR +indép + Sommaire'!G44</f>
        <v>Interférence temps et/ou communication</v>
      </c>
      <c r="C282" s="379" t="str">
        <f>'Cpts AR +indép + Sommaire'!C44</f>
        <v>PFA16a</v>
      </c>
      <c r="D282" s="698" t="str">
        <f>'Cpts AR +indép + Sommaire'!D44</f>
        <v>Arrive-t-il que l'autre parent ramène votre enfant à la maison à l'heure qui lui convient, sans respecter l'entente initiale ?</v>
      </c>
      <c r="E282" s="78" t="s">
        <v>613</v>
      </c>
      <c r="F282" s="709">
        <f>'Cpts AR +indép + Sommaire'!E44</f>
        <v>4</v>
      </c>
      <c r="G282" s="709">
        <f>'Cpts AR +indép + Sommaire'!F44</f>
        <v>2</v>
      </c>
      <c r="H282" s="709">
        <f>F282*G282</f>
        <v>8</v>
      </c>
      <c r="I282" s="1350">
        <v>4</v>
      </c>
      <c r="J282" s="1343">
        <v>10</v>
      </c>
      <c r="K282" s="31" t="b">
        <f>IF(AND(F282&gt;=I282,F282&lt;=J282),TRUE,FALSE)</f>
        <v>1</v>
      </c>
      <c r="L282" s="31"/>
      <c r="M282" s="31"/>
      <c r="N282" s="31"/>
      <c r="O282" s="1351"/>
      <c r="P282" s="1374">
        <v>11</v>
      </c>
      <c r="Q282" s="1375">
        <v>11</v>
      </c>
      <c r="R282" s="1351" t="b">
        <f>IF(AND(F282&gt;=P282,F282&lt;=Q282),TRUE,FALSE)</f>
        <v>0</v>
      </c>
      <c r="S282" s="1350">
        <v>2</v>
      </c>
      <c r="T282" s="1343">
        <v>7</v>
      </c>
      <c r="U282" s="1351" t="b">
        <f>IF(AND(F282&gt;=S282,F282&lt;=T282),TRUE,FALSE)</f>
        <v>1</v>
      </c>
      <c r="V282" s="807"/>
      <c r="W282" s="821"/>
      <c r="X282" s="822"/>
      <c r="Y282" s="821"/>
      <c r="Z282" s="822"/>
      <c r="AA282" s="821"/>
      <c r="AB282" s="822"/>
      <c r="AD282" s="10"/>
      <c r="AE282" s="10"/>
      <c r="AF282" s="10"/>
      <c r="AG282" s="832">
        <f>IF($K282=TRUE,H282,0)</f>
        <v>8</v>
      </c>
      <c r="AH282" s="832">
        <f>IF($R282=TRUE,H282,0)</f>
        <v>0</v>
      </c>
      <c r="AI282" s="832">
        <f>IF($U282=TRUE,H282,0)</f>
        <v>8</v>
      </c>
      <c r="AJ282" s="1490">
        <f t="shared" si="536"/>
        <v>8</v>
      </c>
      <c r="AK282" s="1490">
        <f t="shared" si="537"/>
        <v>20</v>
      </c>
      <c r="AL282" s="1490">
        <f t="shared" si="538"/>
        <v>0</v>
      </c>
      <c r="AM282" s="1490">
        <f t="shared" si="539"/>
        <v>0</v>
      </c>
      <c r="AN282" s="1490">
        <f t="shared" si="540"/>
        <v>4</v>
      </c>
      <c r="AO282" s="1490">
        <f t="shared" si="541"/>
        <v>14</v>
      </c>
      <c r="AY282" s="734"/>
      <c r="AZ282" s="734"/>
      <c r="BA282" s="87"/>
      <c r="BB282" s="442"/>
      <c r="BC282" s="89"/>
      <c r="BD282" s="446"/>
      <c r="BE282" s="446"/>
      <c r="BF282" s="89"/>
      <c r="BG282" s="447"/>
      <c r="BH282" s="447"/>
      <c r="BI282" s="443"/>
    </row>
    <row r="283" spans="1:78" ht="51" x14ac:dyDescent="0.2">
      <c r="B283" s="1702"/>
      <c r="C283" s="710" t="s">
        <v>609</v>
      </c>
      <c r="D283" s="711"/>
      <c r="E283" s="712" t="str">
        <f>_xlfn.XLOOKUP(H283,H281:H282,E281:E282)</f>
        <v>impose des changements d'horaire sans consultation auprès de l'autre</v>
      </c>
      <c r="F283" s="713"/>
      <c r="G283" s="713"/>
      <c r="H283" s="713">
        <f>IF(AND(K281=TRUE,K282=FALSE),H281,IF(AND(K281=FALSE,K282=TRUE),H282,MAX(H281,H282)))</f>
        <v>14</v>
      </c>
      <c r="I283" s="1352"/>
      <c r="J283" s="714"/>
      <c r="K283" s="715" t="b">
        <f>IF(AND(K281=FALSE,K282=FALSE),FALSE,TRUE)</f>
        <v>1</v>
      </c>
      <c r="L283" s="31"/>
      <c r="M283" s="31"/>
      <c r="N283" s="31"/>
      <c r="O283" s="1351"/>
      <c r="P283" s="1352"/>
      <c r="Q283" s="714"/>
      <c r="R283" s="1365" t="b">
        <f>IF(AND(R281=FALSE,R282=FALSE),FALSE,TRUE)</f>
        <v>0</v>
      </c>
      <c r="S283" s="1352"/>
      <c r="T283" s="714"/>
      <c r="U283" s="1365" t="b">
        <f>IF(AND(U281=FALSE,U282=FALSE),FALSE,TRUE)</f>
        <v>1</v>
      </c>
      <c r="V283" s="807"/>
      <c r="W283" s="821"/>
      <c r="X283" s="822"/>
      <c r="Y283" s="821"/>
      <c r="Z283" s="822"/>
      <c r="AA283" s="821"/>
      <c r="AB283" s="822"/>
      <c r="AD283" s="10"/>
      <c r="AE283" s="10"/>
      <c r="AF283" s="10"/>
      <c r="AG283" s="1740">
        <f>IF($K283=TRUE,MAX(AG281:AG282),0)</f>
        <v>14</v>
      </c>
      <c r="AH283" s="1740">
        <f>IF($R283=TRUE,MAX(AH281:AH282),0)</f>
        <v>0</v>
      </c>
      <c r="AI283" s="1740">
        <f>IF($U283=TRUE,MAX(AI281:AI282),0)</f>
        <v>14</v>
      </c>
      <c r="AJ283" s="1739">
        <f>MAX(AJ281:AJ282)</f>
        <v>8</v>
      </c>
      <c r="AK283" s="1739">
        <f t="shared" ref="AK283" si="542">MAX(AK281:AK282)</f>
        <v>20</v>
      </c>
      <c r="AL283" s="1739">
        <f t="shared" ref="AL283" si="543">MAX(AL281:AL282)</f>
        <v>0</v>
      </c>
      <c r="AM283" s="1739">
        <f t="shared" ref="AM283" si="544">MAX(AM281:AM282)</f>
        <v>0</v>
      </c>
      <c r="AN283" s="1739">
        <f t="shared" ref="AN283" si="545">MAX(AN281:AN282)</f>
        <v>8</v>
      </c>
      <c r="AO283" s="1739">
        <f t="shared" ref="AO283" si="546">MAX(AO281:AO282)</f>
        <v>14</v>
      </c>
      <c r="AY283" s="734"/>
      <c r="AZ283" s="734"/>
      <c r="BA283" s="87"/>
      <c r="BB283" s="442"/>
      <c r="BC283" s="89"/>
      <c r="BD283" s="446"/>
      <c r="BE283" s="446"/>
      <c r="BF283" s="89"/>
      <c r="BG283" s="447"/>
      <c r="BH283" s="447"/>
      <c r="BI283" s="443"/>
    </row>
    <row r="284" spans="1:78" ht="51" x14ac:dyDescent="0.2">
      <c r="A284" t="str">
        <f>IF(Test_Bible!B417="","F","O")</f>
        <v>O</v>
      </c>
      <c r="B284" s="1531" t="str">
        <f>'Cpts AR +indép + Sommaire'!M43</f>
        <v>Interférence temps et/ou communication</v>
      </c>
      <c r="C284" s="38" t="str">
        <f>'Cpts AR +indép + Sommaire'!I43</f>
        <v>NC07</v>
      </c>
      <c r="D284" s="25" t="str">
        <f>'Cpts AR +indép + Sommaire'!J43</f>
        <v xml:space="preserve">Le nouveau ou nouvelle conjoint·e apporte des changements à l’horaire de garde sans vous consulter au préalable ou sans votre autorisation. </v>
      </c>
      <c r="E284" s="78" t="s">
        <v>653</v>
      </c>
      <c r="F284" s="709">
        <f>'Cpts AR +indép + Sommaire'!K43</f>
        <v>4</v>
      </c>
      <c r="G284" s="709">
        <f>'Cpts AR +indép + Sommaire'!L43</f>
        <v>2</v>
      </c>
      <c r="H284" s="709">
        <f>F284*G284</f>
        <v>8</v>
      </c>
      <c r="I284" s="1350">
        <v>4</v>
      </c>
      <c r="J284" s="1343">
        <v>10</v>
      </c>
      <c r="K284" s="31" t="b">
        <f>IF(AND(F284&gt;=I284,F284&lt;=J284),TRUE,FALSE)</f>
        <v>1</v>
      </c>
      <c r="L284" s="31"/>
      <c r="M284" s="31"/>
      <c r="N284" s="31"/>
      <c r="O284" s="1351"/>
      <c r="P284" s="1374">
        <v>11</v>
      </c>
      <c r="Q284" s="1375">
        <v>11</v>
      </c>
      <c r="R284" s="1351" t="b">
        <f>IF(AND(F284&gt;=P284,F284&lt;=Q284),TRUE,FALSE)</f>
        <v>0</v>
      </c>
      <c r="S284" s="1350">
        <v>4</v>
      </c>
      <c r="T284" s="1343">
        <v>10</v>
      </c>
      <c r="U284" s="1351" t="b">
        <f>IF(AND(F284&gt;=S284,F284&lt;=T284),TRUE,FALSE)</f>
        <v>1</v>
      </c>
      <c r="V284" s="807"/>
      <c r="W284" s="821"/>
      <c r="X284" s="822"/>
      <c r="Y284" s="821"/>
      <c r="Z284" s="822"/>
      <c r="AA284" s="821"/>
      <c r="AB284" s="822"/>
      <c r="AD284" s="10"/>
      <c r="AE284" s="10"/>
      <c r="AF284" s="10"/>
      <c r="AG284" s="832">
        <f>IF(K284=TRUE,H284,0)</f>
        <v>8</v>
      </c>
      <c r="AH284" s="832">
        <f>IF(R284=TRUE,H284,0)</f>
        <v>0</v>
      </c>
      <c r="AI284" s="832">
        <f>IF(U284=TRUE,H284,0)</f>
        <v>8</v>
      </c>
      <c r="AJ284" s="1490">
        <f t="shared" ref="AJ284:AJ285" si="547">IF(OR(I284=11,A284="F"),0,G284*I284)</f>
        <v>8</v>
      </c>
      <c r="AK284" s="1490">
        <f t="shared" ref="AK284:AK285" si="548">IF(OR(J284=11,A284="F"),0,G284*J284)</f>
        <v>20</v>
      </c>
      <c r="AL284" s="1490">
        <f t="shared" ref="AL284:AL285" si="549">IF(OR(P284=11,A284="F"),0,G284*P284)</f>
        <v>0</v>
      </c>
      <c r="AM284" s="1490">
        <f t="shared" ref="AM284:AM285" si="550">IF(OR(Q284=11,A284="F"),0,G284*Q284)</f>
        <v>0</v>
      </c>
      <c r="AN284" s="1490">
        <f t="shared" ref="AN284:AN285" si="551">IF(OR(S284=11,A284="F"),0,S284*G284)</f>
        <v>8</v>
      </c>
      <c r="AO284" s="1490">
        <f t="shared" ref="AO284:AO285" si="552">IF(OR(T284=11,A284="F"),0,T284*G284)</f>
        <v>20</v>
      </c>
      <c r="AY284" s="734"/>
      <c r="AZ284" s="734"/>
      <c r="BA284" s="87"/>
      <c r="BB284" s="442"/>
      <c r="BC284" s="89"/>
      <c r="BD284" s="446"/>
      <c r="BE284" s="446"/>
      <c r="BF284" s="89"/>
      <c r="BG284" s="447"/>
      <c r="BH284" s="447"/>
      <c r="BI284" s="443"/>
    </row>
    <row r="285" spans="1:78" ht="19" x14ac:dyDescent="0.2">
      <c r="B285" s="1700"/>
      <c r="C285" s="38" t="s">
        <v>242</v>
      </c>
      <c r="D285" s="25"/>
      <c r="E285" s="48"/>
      <c r="F285" s="27"/>
      <c r="G285" s="27"/>
      <c r="H285" s="27">
        <f>F285*G285</f>
        <v>0</v>
      </c>
      <c r="I285" s="1374">
        <v>11</v>
      </c>
      <c r="J285" s="1375">
        <v>11</v>
      </c>
      <c r="K285" s="31" t="b">
        <f>IF(AND(F285&gt;=I285,F285&lt;=J285),TRUE,FALSE)</f>
        <v>0</v>
      </c>
      <c r="L285" s="31"/>
      <c r="M285" s="31"/>
      <c r="N285" s="31"/>
      <c r="O285" s="1351"/>
      <c r="P285" s="1374">
        <v>11</v>
      </c>
      <c r="Q285" s="1375">
        <v>11</v>
      </c>
      <c r="R285" s="1351" t="b">
        <f>IF(AND(F285&gt;=P285,F285&lt;=Q285),TRUE,FALSE)</f>
        <v>0</v>
      </c>
      <c r="S285" s="1374">
        <v>11</v>
      </c>
      <c r="T285" s="1375">
        <v>11</v>
      </c>
      <c r="U285" s="1351" t="b">
        <f>IF(AND(F285&gt;=S285,F285&lt;=T285),TRUE,FALSE)</f>
        <v>0</v>
      </c>
      <c r="V285" s="807"/>
      <c r="W285" s="821"/>
      <c r="X285" s="822"/>
      <c r="Y285" s="821"/>
      <c r="Z285" s="822"/>
      <c r="AA285" s="821"/>
      <c r="AB285" s="822"/>
      <c r="AD285" s="10"/>
      <c r="AE285" s="10"/>
      <c r="AF285" s="10"/>
      <c r="AG285" s="832">
        <f>IF(K285=TRUE,H285,0)</f>
        <v>0</v>
      </c>
      <c r="AH285" s="832">
        <f>IF(R285=TRUE,H285,0)</f>
        <v>0</v>
      </c>
      <c r="AI285" s="832">
        <f>IF(U285=TRUE,H285,0)</f>
        <v>0</v>
      </c>
      <c r="AJ285" s="1490">
        <f t="shared" si="547"/>
        <v>0</v>
      </c>
      <c r="AK285" s="1490">
        <f t="shared" si="548"/>
        <v>0</v>
      </c>
      <c r="AL285" s="1490">
        <f t="shared" si="549"/>
        <v>0</v>
      </c>
      <c r="AM285" s="1490">
        <f t="shared" si="550"/>
        <v>0</v>
      </c>
      <c r="AN285" s="1490">
        <f t="shared" si="551"/>
        <v>0</v>
      </c>
      <c r="AO285" s="1490">
        <f t="shared" si="552"/>
        <v>0</v>
      </c>
      <c r="AV285" s="7"/>
      <c r="AX285" s="7"/>
      <c r="AY285" s="734"/>
      <c r="AZ285" s="734"/>
      <c r="BA285" s="87"/>
      <c r="BB285" s="442"/>
      <c r="BC285" s="89"/>
      <c r="BD285" s="446"/>
      <c r="BE285" s="446"/>
      <c r="BF285" s="89"/>
      <c r="BG285" s="447"/>
      <c r="BH285" s="447"/>
      <c r="BI285" s="443"/>
      <c r="BN285" s="25"/>
      <c r="BP285" s="7"/>
      <c r="BQ285" s="7"/>
      <c r="BR285" s="7"/>
      <c r="BS285" s="7"/>
      <c r="BT285" s="7"/>
      <c r="BU285" s="7"/>
      <c r="BV285" s="7"/>
      <c r="BW285" s="7"/>
      <c r="BX285" s="7"/>
      <c r="BY285" s="7"/>
      <c r="BZ285" s="7"/>
    </row>
    <row r="286" spans="1:78" ht="52" thickBot="1" x14ac:dyDescent="0.25">
      <c r="B286" s="1700"/>
      <c r="C286" s="716" t="s">
        <v>610</v>
      </c>
      <c r="D286" s="717" t="str">
        <f>_xlfn.XLOOKUP(H286,H284:H285,D284:D285)</f>
        <v xml:space="preserve">Le nouveau ou nouvelle conjoint·e apporte des changements à l’horaire de garde sans vous consulter au préalable ou sans votre autorisation. </v>
      </c>
      <c r="E286" s="718" t="str">
        <f>_xlfn.XLOOKUP(H286,H284:H285,E284:E285)</f>
        <v>Le nouveau conjoint.e impose des changements d'horaire sans consultation auprès de l'autre</v>
      </c>
      <c r="F286" s="719"/>
      <c r="G286" s="719"/>
      <c r="H286" s="713">
        <f>IF(AND(K284=TRUE,K285=FALSE),H284,IF(AND(K284=FALSE,K285=TRUE),H285,MAX(H284,H285)))</f>
        <v>8</v>
      </c>
      <c r="I286" s="1353"/>
      <c r="J286" s="720"/>
      <c r="K286" s="721" t="b">
        <f>IF(AND(K284=FALSE,K285=FALSE),FALSE,TRUE)</f>
        <v>1</v>
      </c>
      <c r="L286" s="31"/>
      <c r="M286" s="31"/>
      <c r="N286" s="31"/>
      <c r="O286" s="1351"/>
      <c r="P286" s="1353"/>
      <c r="Q286" s="720"/>
      <c r="R286" s="1366" t="b">
        <f>IF(AND(R284=FALSE,R285=FALSE),FALSE,TRUE)</f>
        <v>0</v>
      </c>
      <c r="S286" s="1353"/>
      <c r="T286" s="720"/>
      <c r="U286" s="1366" t="b">
        <f>IF(AND(U284=FALSE,U285=FALSE),FALSE,TRUE)</f>
        <v>1</v>
      </c>
      <c r="V286" s="807"/>
      <c r="W286" s="821"/>
      <c r="X286" s="822"/>
      <c r="Y286" s="821"/>
      <c r="Z286" s="822"/>
      <c r="AA286" s="821"/>
      <c r="AB286" s="822"/>
      <c r="AD286" s="10"/>
      <c r="AE286" s="10"/>
      <c r="AF286" s="10"/>
      <c r="AG286" s="1740">
        <f>IF($K286=TRUE,MAX(AG284:AG285),0)</f>
        <v>8</v>
      </c>
      <c r="AH286" s="1740">
        <f>IF($R286=TRUE,MAX(AH284:AH285),0)</f>
        <v>0</v>
      </c>
      <c r="AI286" s="1740">
        <f>IF($U286=TRUE,MAX(AI284:AI285),0)</f>
        <v>8</v>
      </c>
      <c r="AJ286" s="1739">
        <f>MAX(AJ284:AJ285)</f>
        <v>8</v>
      </c>
      <c r="AK286" s="1739">
        <f t="shared" ref="AK286" si="553">MAX(AK284:AK285)</f>
        <v>20</v>
      </c>
      <c r="AL286" s="1739">
        <f t="shared" ref="AL286" si="554">MAX(AL284:AL285)</f>
        <v>0</v>
      </c>
      <c r="AM286" s="1739">
        <f t="shared" ref="AM286" si="555">MAX(AM284:AM285)</f>
        <v>0</v>
      </c>
      <c r="AN286" s="1739">
        <f t="shared" ref="AN286" si="556">MAX(AN284:AN285)</f>
        <v>8</v>
      </c>
      <c r="AO286" s="1739">
        <f t="shared" ref="AO286" si="557">MAX(AO284:AO285)</f>
        <v>20</v>
      </c>
      <c r="AV286" s="7"/>
      <c r="AX286" s="7"/>
      <c r="AY286" s="734"/>
      <c r="AZ286" s="734"/>
      <c r="BA286" s="87"/>
      <c r="BB286" s="442"/>
      <c r="BC286" s="89"/>
      <c r="BD286" s="446"/>
      <c r="BE286" s="446"/>
      <c r="BF286" s="89"/>
      <c r="BG286" s="447"/>
      <c r="BH286" s="447"/>
      <c r="BI286" s="443"/>
      <c r="BN286" s="25"/>
      <c r="BP286" s="7"/>
      <c r="BQ286" s="7"/>
      <c r="BR286" s="7"/>
      <c r="BS286" s="7"/>
      <c r="BT286" s="7"/>
      <c r="BU286" s="7"/>
      <c r="BV286" s="7"/>
      <c r="BW286" s="7"/>
      <c r="BX286" s="7"/>
      <c r="BY286" s="7"/>
      <c r="BZ286" s="7"/>
    </row>
    <row r="287" spans="1:78" ht="52" thickBot="1" x14ac:dyDescent="0.25">
      <c r="B287" s="1700"/>
      <c r="C287" s="722" t="s">
        <v>616</v>
      </c>
      <c r="D287" s="723"/>
      <c r="E287" s="723" t="str">
        <f>IF(H287=H283,E283,E286)</f>
        <v>Le nouveau conjoint.e impose des changements d'horaire sans consultation auprès de l'autre</v>
      </c>
      <c r="F287" s="724"/>
      <c r="G287" s="724"/>
      <c r="H287" s="724">
        <f>IF(AND(K283=TRUE,K286=FALSE),H283,IF(AND(K283=FALSE,K286=TRUE),H286,IF(AND(K283=TRUE,K286=TRUE),H283+H286,MAX(H283,H286))))</f>
        <v>22</v>
      </c>
      <c r="I287" s="1354"/>
      <c r="J287" s="725"/>
      <c r="K287" s="726" t="b">
        <f>IF(AND(K283=FALSE,K286=FALSE),FALSE,TRUE)</f>
        <v>1</v>
      </c>
      <c r="L287" s="1338"/>
      <c r="M287" s="1338"/>
      <c r="N287" s="1338"/>
      <c r="O287" s="1355"/>
      <c r="P287" s="1354"/>
      <c r="Q287" s="725"/>
      <c r="R287" s="726" t="b">
        <f>IF(AND(R283=FALSE,R286=FALSE),FALSE,TRUE)</f>
        <v>0</v>
      </c>
      <c r="S287" s="1354"/>
      <c r="T287" s="725"/>
      <c r="U287" s="726" t="b">
        <f>IF(AND(U283=FALSE,U286=FALSE),FALSE,TRUE)</f>
        <v>1</v>
      </c>
      <c r="V287" s="807"/>
      <c r="W287" s="821" t="str">
        <f>IF(K287=TRUE,"V","F")</f>
        <v>V</v>
      </c>
      <c r="X287" s="822"/>
      <c r="Y287" s="821" t="str">
        <f>IF(R287=TRUE,"V","F")</f>
        <v>F</v>
      </c>
      <c r="Z287" s="822"/>
      <c r="AA287" s="821" t="str">
        <f>IF(U287=TRUE,"V","F")</f>
        <v>V</v>
      </c>
      <c r="AB287" s="822"/>
      <c r="AC287" t="str">
        <f>IF(OR(W287="V",Y287="V"),IF(H286&gt;H283,"Le NC contribue plus que le coparent","Le coparent joue un plus grand rôle que le NC"),"pas de contexte significatif de la part du coparent et NC")</f>
        <v>Le coparent joue un plus grand rôle que le NC</v>
      </c>
      <c r="AD287" s="10"/>
      <c r="AE287" s="10"/>
      <c r="AF287" s="10"/>
      <c r="AG287" s="591">
        <f>IF(AND($K283=TRUE,$K286=FALSE),AG283,IF(AND($K283=FALSE,$K286=TRUE),AG286,IF(AND($K283=TRUE,$K286=TRUE),AG283+AG286,0)))</f>
        <v>22</v>
      </c>
      <c r="AH287" s="591">
        <f>IF(AND($R283=TRUE,$R286=FALSE),AH283,IF(AND($R283=FALSE,$R286=TRUE),AH286,IF(AND($R283=TRUE,$R286=TRUE),AH283+AH286,0)))</f>
        <v>0</v>
      </c>
      <c r="AI287" s="591">
        <f>IF(AND($U283=TRUE,$U286=FALSE),AI283,IF(AND($U283=FALSE,$U286=TRUE),AI286,IF(AND($U283=TRUE,$U286=TRUE),AI283+AI286,0)))</f>
        <v>22</v>
      </c>
      <c r="AJ287" s="591">
        <f>IF(AND($K283=TRUE,$K286=FALSE),AJ283,IF(AND($K283=FALSE,$K286=TRUE),AJ286,IF(AND($K283=TRUE,$K286=TRUE),AJ283+AJ286,MAX(AJ283,AJ286))))</f>
        <v>16</v>
      </c>
      <c r="AK287" s="591">
        <f>IF(AND($K283=TRUE,$K286=FALSE),AK283,IF(AND($K283=FALSE,$K286=TRUE),AK286,IF(AND($K283=TRUE,$K286=TRUE),AK283+AK286,MAX(AK283,AK286))))</f>
        <v>40</v>
      </c>
      <c r="AL287" s="591">
        <f t="shared" ref="AL287" si="558">IF(AND($R283=TRUE,$R286=FALSE),AL283,IF(AND($R283=FALSE,$R286=TRUE),AL286,IF(AND($R283=TRUE,$R286=TRUE),AL283+AL286,MAX(AL283,AL286))))</f>
        <v>0</v>
      </c>
      <c r="AM287" s="591">
        <f t="shared" ref="AM287" si="559">IF(AND($R283=TRUE,$R286=FALSE),AM283,IF(AND($R283=FALSE,$R286=TRUE),AM286,IF(AND($R283=TRUE,$R286=TRUE),AM283+AM286,MAX(AM283,AM286))))</f>
        <v>0</v>
      </c>
      <c r="AN287" s="591">
        <f t="shared" ref="AN287" si="560">IF(AND($U283=TRUE,$U286=FALSE),AN283,IF(AND($U283=FALSE,$U286=TRUE),AN286,IF(AND($U283=TRUE,$U286=TRUE),AN283+AN286,MAX(AN283,AN286))))</f>
        <v>16</v>
      </c>
      <c r="AO287" s="591">
        <f t="shared" ref="AO287" si="561">IF(AND($U283=TRUE,$U286=FALSE),AO283,IF(AND($U283=FALSE,$U286=TRUE),AO286,IF(AND($U283=TRUE,$U286=TRUE),AO283+AO286,MAX(AO283,AO286))))</f>
        <v>34</v>
      </c>
      <c r="AV287" s="7"/>
      <c r="AX287" s="7"/>
      <c r="AY287" s="734"/>
      <c r="AZ287" s="734"/>
      <c r="BA287" s="87"/>
      <c r="BB287" s="442"/>
      <c r="BC287" s="89"/>
      <c r="BD287" s="446"/>
      <c r="BE287" s="446"/>
      <c r="BF287" s="89"/>
      <c r="BG287" s="447"/>
      <c r="BH287" s="447"/>
      <c r="BI287" s="443"/>
      <c r="BN287" s="25"/>
      <c r="BP287" s="7"/>
      <c r="BQ287" s="7"/>
      <c r="BR287" s="7"/>
      <c r="BS287" s="7"/>
      <c r="BT287" s="7"/>
      <c r="BU287" s="7"/>
      <c r="BV287" s="7"/>
      <c r="BW287" s="7"/>
      <c r="BX287" s="7"/>
      <c r="BY287" s="7"/>
      <c r="BZ287" s="7"/>
    </row>
    <row r="288" spans="1:78" ht="48" x14ac:dyDescent="0.2">
      <c r="A288" t="str">
        <f>IF(Test_Bible!B290="","F","O")</f>
        <v>O</v>
      </c>
      <c r="B288" s="1700" t="str">
        <f>'Cpts AR +indép + Sommaire'!S43</f>
        <v>Interférence temps ou communication</v>
      </c>
      <c r="C288" s="287" t="str">
        <f>'Cpts AR +indép + Sommaire'!O43</f>
        <v>E16</v>
      </c>
      <c r="D288" s="25" t="str">
        <f>'Cpts AR +indép + Sommaire'!P43</f>
        <v>Votre enfant demande à modifier les horaires de garde et de visite.</v>
      </c>
      <c r="E288" s="78" t="s">
        <v>614</v>
      </c>
      <c r="F288" s="709">
        <f>'Cpts AR +indép + Sommaire'!Q43</f>
        <v>2</v>
      </c>
      <c r="G288" s="709">
        <f>'Cpts AR +indép + Sommaire'!R43</f>
        <v>2</v>
      </c>
      <c r="H288" s="709">
        <f>F288*G288</f>
        <v>4</v>
      </c>
      <c r="I288" s="1350">
        <v>4</v>
      </c>
      <c r="J288" s="1343">
        <v>10</v>
      </c>
      <c r="K288" s="31" t="b">
        <f>IF(AND(F288&gt;=I288,F288&lt;=J288),TRUE,FALSE)</f>
        <v>0</v>
      </c>
      <c r="L288" s="31"/>
      <c r="M288" s="31"/>
      <c r="N288" s="31"/>
      <c r="O288" s="1351"/>
      <c r="P288" s="1350">
        <v>2</v>
      </c>
      <c r="Q288" s="1343">
        <v>4</v>
      </c>
      <c r="R288" s="1351" t="b">
        <f>IF(AND(F288&gt;=P288,F288&lt;=Q288),TRUE,FALSE)</f>
        <v>1</v>
      </c>
      <c r="S288" s="1350"/>
      <c r="T288" s="1343"/>
      <c r="U288" s="1351"/>
      <c r="V288" s="1327"/>
      <c r="W288" s="821" t="s">
        <v>753</v>
      </c>
      <c r="X288" s="822"/>
      <c r="Y288" s="821"/>
      <c r="Z288" s="822"/>
      <c r="AA288" s="821"/>
      <c r="AB288" s="822"/>
      <c r="AD288" s="10"/>
      <c r="AE288" s="10"/>
      <c r="AF288" s="10"/>
      <c r="AG288" s="832">
        <f>IF($K288=TRUE,H288,0)</f>
        <v>0</v>
      </c>
      <c r="AH288" s="832">
        <f>IF($R288=TRUE,H288,0)</f>
        <v>4</v>
      </c>
      <c r="AI288" s="832"/>
      <c r="AJ288" s="1490">
        <f t="shared" ref="AJ288:AJ289" si="562">IF(OR(I288=11,A288="F"),0,G288*I288)</f>
        <v>8</v>
      </c>
      <c r="AK288" s="1490">
        <f t="shared" ref="AK288:AK289" si="563">IF(OR(J288=11,A288="F"),0,G288*J288)</f>
        <v>20</v>
      </c>
      <c r="AL288" s="1490">
        <f t="shared" ref="AL288:AL289" si="564">IF(OR(P288=11,A288="F"),0,G288*P288)</f>
        <v>4</v>
      </c>
      <c r="AM288" s="1490">
        <f t="shared" ref="AM288:AM289" si="565">IF(OR(Q288=11,A288="F"),0,G288*Q288)</f>
        <v>8</v>
      </c>
      <c r="AN288" s="1490">
        <f t="shared" ref="AN288:AN289" si="566">IF(OR(S288=11,A288="F"),0,S288*G288)</f>
        <v>0</v>
      </c>
      <c r="AO288" s="1490">
        <f t="shared" ref="AO288:AO289" si="567">IF(OR(T288=11,A288="F"),0,T288*G288)</f>
        <v>0</v>
      </c>
      <c r="AV288" s="7"/>
      <c r="AX288" s="7"/>
      <c r="AY288" s="734"/>
      <c r="AZ288" s="734"/>
      <c r="BA288" s="87"/>
      <c r="BB288" s="442"/>
      <c r="BC288" s="89"/>
      <c r="BD288" s="446"/>
      <c r="BE288" s="446"/>
      <c r="BF288" s="89"/>
      <c r="BG288" s="447"/>
      <c r="BH288" s="447"/>
      <c r="BI288" s="443"/>
      <c r="BN288" s="25"/>
      <c r="BP288" s="7"/>
      <c r="BQ288" s="7"/>
      <c r="BR288" s="7"/>
      <c r="BS288" s="7"/>
      <c r="BT288" s="7"/>
      <c r="BU288" s="7"/>
      <c r="BV288" s="7"/>
      <c r="BW288" s="7"/>
      <c r="BX288" s="7"/>
      <c r="BY288" s="7"/>
      <c r="BZ288" s="7"/>
    </row>
    <row r="289" spans="1:78" ht="52" thickBot="1" x14ac:dyDescent="0.25">
      <c r="A289" t="str">
        <f>IF(Test_Bible!B296="","F","O")</f>
        <v>O</v>
      </c>
      <c r="B289" s="1700" t="str">
        <f>'Cpts AR +indép + Sommaire'!S44</f>
        <v>Interférence temps ou communication</v>
      </c>
      <c r="C289" s="287" t="str">
        <f>'Cpts AR +indép + Sommaire'!O44</f>
        <v>E16a1</v>
      </c>
      <c r="D289" s="698" t="str">
        <f>'Cpts AR +indép + Sommaire'!P44</f>
        <v>Dans quelle mesure votre enfant impose-t-il ou elle des changements d’horaires et de visite à la faveur de l'autre parent sans vous consulter au préalable et sans votre autorisation ?</v>
      </c>
      <c r="E289" s="78" t="s">
        <v>615</v>
      </c>
      <c r="F289" s="709">
        <f>'Cpts AR +indép + Sommaire'!Q44</f>
        <v>0</v>
      </c>
      <c r="G289" s="709">
        <f>'Cpts AR +indép + Sommaire'!R44</f>
        <v>3</v>
      </c>
      <c r="H289" s="709">
        <f>F289*G289</f>
        <v>0</v>
      </c>
      <c r="I289" s="1350">
        <v>2</v>
      </c>
      <c r="J289" s="1343">
        <v>10</v>
      </c>
      <c r="K289" s="31" t="b">
        <f>IF(AND(F289&gt;=I289,F289&lt;=J289),TRUE,FALSE)</f>
        <v>0</v>
      </c>
      <c r="L289" s="31"/>
      <c r="M289" s="31"/>
      <c r="N289" s="31"/>
      <c r="O289" s="1351"/>
      <c r="P289" s="1374">
        <v>11</v>
      </c>
      <c r="Q289" s="1375">
        <v>11</v>
      </c>
      <c r="R289" s="1351" t="b">
        <f>IF(AND(F289&gt;=P289,F289&lt;=Q289),TRUE,FALSE)</f>
        <v>0</v>
      </c>
      <c r="S289" s="1374"/>
      <c r="T289" s="1375"/>
      <c r="U289" s="1351"/>
      <c r="V289" s="807"/>
      <c r="W289" s="821"/>
      <c r="X289" s="822"/>
      <c r="Y289" s="821"/>
      <c r="Z289" s="822"/>
      <c r="AA289" s="821"/>
      <c r="AB289" s="822"/>
      <c r="AD289" s="10"/>
      <c r="AE289" s="10"/>
      <c r="AF289" s="10"/>
      <c r="AG289" s="832">
        <f>IF($K289=TRUE,H289,0)</f>
        <v>0</v>
      </c>
      <c r="AH289" s="832">
        <f>IF($R289=TRUE,H289,0)</f>
        <v>0</v>
      </c>
      <c r="AI289" s="832"/>
      <c r="AJ289" s="1490">
        <f t="shared" si="562"/>
        <v>6</v>
      </c>
      <c r="AK289" s="1490">
        <f t="shared" si="563"/>
        <v>30</v>
      </c>
      <c r="AL289" s="1490">
        <f t="shared" si="564"/>
        <v>0</v>
      </c>
      <c r="AM289" s="1490">
        <f t="shared" si="565"/>
        <v>0</v>
      </c>
      <c r="AN289" s="1490">
        <f t="shared" si="566"/>
        <v>0</v>
      </c>
      <c r="AO289" s="1490">
        <f t="shared" si="567"/>
        <v>0</v>
      </c>
      <c r="AV289" s="7"/>
      <c r="AX289" s="7"/>
      <c r="AY289" s="734"/>
      <c r="AZ289" s="734"/>
      <c r="BA289" s="87"/>
      <c r="BB289" s="442"/>
      <c r="BC289" s="89"/>
      <c r="BD289" s="446"/>
      <c r="BE289" s="446"/>
      <c r="BF289" s="89"/>
      <c r="BG289" s="447"/>
      <c r="BH289" s="447"/>
      <c r="BI289" s="443"/>
      <c r="BN289" s="25"/>
      <c r="BP289" s="7"/>
      <c r="BQ289" s="7"/>
      <c r="BR289" s="7"/>
      <c r="BS289" s="7"/>
      <c r="BT289" s="7"/>
      <c r="BU289" s="7"/>
      <c r="BV289" s="7"/>
      <c r="BW289" s="7"/>
      <c r="BX289" s="7"/>
      <c r="BY289" s="7"/>
      <c r="BZ289" s="7"/>
    </row>
    <row r="290" spans="1:78" ht="35" thickBot="1" x14ac:dyDescent="0.25">
      <c r="B290" s="1700"/>
      <c r="C290" s="727" t="s">
        <v>611</v>
      </c>
      <c r="D290" s="728" t="str">
        <f>_xlfn.XLOOKUP(H290,H288:H289,D288:D289)</f>
        <v>Votre enfant demande à modifier les horaires de garde et de visite.</v>
      </c>
      <c r="E290" s="728" t="str">
        <f>_xlfn.XLOOKUP(H290,H288:H289,E288:E289)</f>
        <v>change les horaires à la faveur de l'autre parent</v>
      </c>
      <c r="F290" s="729"/>
      <c r="G290" s="729"/>
      <c r="H290" s="729">
        <f>IF(AND(K288=TRUE,K289=FALSE),H288,IF(AND(K288=FALSE,K289=TRUE),H289,MAX(H288,H289)))</f>
        <v>4</v>
      </c>
      <c r="I290" s="1356"/>
      <c r="J290" s="730"/>
      <c r="K290" s="731" t="b">
        <f>IF(AND(K288=FALSE,K289=FALSE),FALSE,TRUE)</f>
        <v>0</v>
      </c>
      <c r="L290" s="1339"/>
      <c r="M290" s="1339"/>
      <c r="N290" s="1339"/>
      <c r="O290" s="1357"/>
      <c r="P290" s="1356"/>
      <c r="Q290" s="730"/>
      <c r="R290" s="731" t="b">
        <f>IF(AND(R288=FALSE,R289=FALSE),FALSE,TRUE)</f>
        <v>1</v>
      </c>
      <c r="S290" s="1356"/>
      <c r="T290" s="730"/>
      <c r="U290" s="731"/>
      <c r="V290" s="807"/>
      <c r="W290" s="821" t="str">
        <f>IF(K290=TRUE,"V","F")</f>
        <v>F</v>
      </c>
      <c r="X290" s="822"/>
      <c r="Y290" s="821" t="str">
        <f>IF(R290=TRUE,"V","F")</f>
        <v>V</v>
      </c>
      <c r="Z290" s="822"/>
      <c r="AA290" s="821"/>
      <c r="AB290" s="822"/>
      <c r="AD290" s="10"/>
      <c r="AE290" s="10"/>
      <c r="AF290" s="10"/>
      <c r="AG290" s="1742">
        <f>IF(AND($K288=TRUE,$K289=FALSE),AG288,IF(AND($K288=FALSE,$K289=TRUE),AG289,IF(AND($K288=TRUE,$K289=TRUE),MAX(AG288,AG289),0)))</f>
        <v>0</v>
      </c>
      <c r="AH290" s="1742">
        <f>IF(AND($R288=TRUE,$R289=FALSE),AH288,IF(AND($R288=FALSE,$R289=TRUE),AH289,IF(AND($R288=TRUE,$R289=TRUE),MAX(AH288,AH289),0)))</f>
        <v>4</v>
      </c>
      <c r="AI290" s="1742"/>
      <c r="AJ290" s="1742">
        <f>IF(AND($K288=TRUE,$K289=FALSE),AJ288,IF(AND($K288=FALSE,$K289=TRUE),AJ289,IF(AND($K288=TRUE,$K289=TRUE),MAX(AJ288,AJ289),0)))</f>
        <v>0</v>
      </c>
      <c r="AK290" s="1742">
        <f>IF(AND($K288=TRUE,$K289=FALSE),AK288,IF(AND($K288=FALSE,$K289=TRUE),AK289,IF(AND($K288=TRUE,$K289=TRUE),MAX(AK288,AK289),0)))</f>
        <v>0</v>
      </c>
      <c r="AL290" s="1742">
        <f t="shared" ref="AL290" si="568">IF(AND($R288=TRUE,$R289=FALSE),AL288,IF(AND($R288=FALSE,$R289=TRUE),AL289,IF(AND($R288=TRUE,$R289=TRUE),MAX(AL288,AL289),0)))</f>
        <v>4</v>
      </c>
      <c r="AM290" s="1742">
        <f t="shared" ref="AM290" si="569">IF(AND($R288=TRUE,$R289=FALSE),AM288,IF(AND($R288=FALSE,$R289=TRUE),AM289,IF(AND($R288=TRUE,$R289=TRUE),MAX(AM288,AM289),0)))</f>
        <v>8</v>
      </c>
      <c r="AN290" s="1742"/>
      <c r="AO290" s="1742"/>
      <c r="AY290" s="734"/>
      <c r="AZ290" s="734"/>
      <c r="BA290" s="87"/>
      <c r="BB290" s="442"/>
      <c r="BC290" s="89"/>
      <c r="BD290" s="446"/>
      <c r="BE290" s="446"/>
      <c r="BF290" s="89"/>
      <c r="BG290" s="447"/>
      <c r="BH290" s="447"/>
      <c r="BI290" s="443"/>
    </row>
    <row r="291" spans="1:78" ht="85" x14ac:dyDescent="0.2">
      <c r="B291" s="1700"/>
      <c r="D291" s="386" t="s">
        <v>273</v>
      </c>
      <c r="E291" s="705"/>
      <c r="F291" s="439" t="s">
        <v>349</v>
      </c>
      <c r="G291" s="33"/>
      <c r="H291" s="33">
        <f>IF(AND(K287=TRUE,K290=FALSE),H287,IF(AND(K287=FALSE,K290=TRUE),H290,IF(AND(K287=TRUE,K290=TRUE),H287+H290,MAX(H287,H290))))</f>
        <v>22</v>
      </c>
      <c r="I291" s="1358"/>
      <c r="J291" s="440"/>
      <c r="K291" s="1341"/>
      <c r="L291" s="1342" t="str">
        <f>IF(AND(K290=TRUE,K287=TRUE),E290,"")</f>
        <v/>
      </c>
      <c r="M291" s="1342" t="str">
        <f>IF(AND(K287=TRUE,K290=FALSE),"Bien que le parent "&amp;E287&amp;" l'enfant ne semble pas s'ingérer","")</f>
        <v>Bien que le parent Le nouveau conjoint.e impose des changements d'horaire sans consultation auprès de l'autre l'enfant ne semble pas s'ingérer</v>
      </c>
      <c r="N291" s="1342" t="str">
        <f>IF(AND(K287=FALSE,K290=TRUE),E290&amp;" sans signe de la participation du parent favorisé et|ou nouveau conjoint.e","")</f>
        <v/>
      </c>
      <c r="O291" s="1359" t="str">
        <f>IF(AND(K287=FALSE,K290=FALSE),"aucun comportement significatif de cette nature","")</f>
        <v/>
      </c>
      <c r="P291" s="1358"/>
      <c r="Q291" s="440"/>
      <c r="R291" s="1367"/>
      <c r="S291" s="1358"/>
      <c r="T291" s="440"/>
      <c r="U291" s="1367"/>
      <c r="V291" s="145"/>
      <c r="W291" s="823"/>
      <c r="X291" s="824">
        <f>IF(AND(W287="V",W290="V"),2,IF(OR(W287="V",W290="V"),1,0))</f>
        <v>1</v>
      </c>
      <c r="Y291" s="823"/>
      <c r="Z291" s="824">
        <f>IF(OR(Y287="V",Y290="V"),1,0)</f>
        <v>1</v>
      </c>
      <c r="AA291" s="823"/>
      <c r="AB291" s="824"/>
      <c r="AD291" s="10"/>
      <c r="AE291" s="10"/>
      <c r="AF291" s="10"/>
      <c r="AG291" s="1738">
        <f>IF(AND($W287="V",$W290="F"),AG287,IF(AND($W287="F",$W290="V"),AG290,IF(AND($W287="V",$W290="V"),AG287+AG290,0)))</f>
        <v>22</v>
      </c>
      <c r="AH291" s="1738">
        <f>IF(AND($Y287="V",$Y290="F"),AH287,IF(AND($Y287="F",$Y290="V"),AH290,IF(AND($Y287="V",$Y290="V"),AH287+AH290,0)))</f>
        <v>4</v>
      </c>
      <c r="AI291" s="1738"/>
      <c r="AJ291" s="1738">
        <f>IF(AND($W287="V",$W290="F"),AJ287,IF(AND($W287="F",$W290="V"),AJ290,IF(AND($W287="V",$W290="V"),AJ287+AJ290,0)))</f>
        <v>16</v>
      </c>
      <c r="AK291" s="1738">
        <f>IF(AND($W287="V",$W290="F"),AK287,IF(AND($W287="F",$W290="V"),AK290,IF(AND($W287="V",$W290="V"),AK287+AK290,0)))</f>
        <v>40</v>
      </c>
      <c r="AL291" s="1738">
        <f>IF(AND($Y287="V",$Y290="F"),AL287,IF(AND($Y287="F",$Y290="V"),AL290,IF(AND($Y287="V",$Y290="V"),AL287+AL290,0)))</f>
        <v>4</v>
      </c>
      <c r="AM291" s="1738">
        <f>IF(AND($Y287="V",$Y290="F"),AM287,IF(AND($Y287="F",$Y290="V"),AM290,IF(AND($Y287="V",$Y290="V"),AM287+AM290,0)))</f>
        <v>8</v>
      </c>
      <c r="AN291" s="1738"/>
      <c r="AO291" s="1738"/>
      <c r="AY291" s="734"/>
      <c r="AZ291" s="734"/>
      <c r="BA291" s="87"/>
      <c r="BB291" s="442"/>
      <c r="BC291" s="89"/>
      <c r="BD291" s="446"/>
      <c r="BE291" s="446"/>
      <c r="BF291" s="89"/>
      <c r="BG291" s="447"/>
      <c r="BH291" s="447"/>
      <c r="BI291" s="443"/>
    </row>
    <row r="292" spans="1:78" ht="19" x14ac:dyDescent="0.2">
      <c r="B292" s="1700"/>
      <c r="C292" t="s">
        <v>238</v>
      </c>
      <c r="I292" s="122"/>
      <c r="L292" s="32"/>
      <c r="M292" s="32"/>
      <c r="N292" s="32"/>
      <c r="O292" s="1379"/>
      <c r="P292" s="122"/>
      <c r="R292" s="292"/>
      <c r="S292" s="122"/>
      <c r="U292" s="292"/>
      <c r="V292" s="32"/>
      <c r="W292" s="821"/>
      <c r="X292" s="822"/>
      <c r="Y292" s="821"/>
      <c r="Z292" s="822"/>
      <c r="AA292" s="821"/>
      <c r="AB292" s="822"/>
      <c r="AD292" s="10"/>
      <c r="AE292" s="10"/>
      <c r="AF292" s="10"/>
      <c r="AG292" s="832"/>
      <c r="AH292" s="832"/>
      <c r="AI292" s="832"/>
      <c r="AJ292" s="1490"/>
      <c r="AK292" s="1490"/>
      <c r="AL292" s="1490"/>
      <c r="AM292" s="1490"/>
      <c r="AN292" s="1490"/>
      <c r="AO292" s="1490"/>
      <c r="AY292" s="734"/>
      <c r="AZ292" s="734"/>
      <c r="BA292" s="87"/>
      <c r="BB292" s="442"/>
      <c r="BC292" s="89"/>
      <c r="BD292" s="446"/>
      <c r="BE292" s="446"/>
      <c r="BF292" s="89"/>
      <c r="BG292" s="447"/>
      <c r="BH292" s="447"/>
      <c r="BI292" s="443"/>
    </row>
    <row r="293" spans="1:78" ht="48" x14ac:dyDescent="0.2">
      <c r="B293" s="1700" t="str">
        <f>'Cpts AR +indép + Sommaire'!Y91</f>
        <v>Interférence lien affectif ou symbolique</v>
      </c>
      <c r="C293" s="825"/>
      <c r="D293" s="826"/>
      <c r="E293" s="826"/>
      <c r="F293" s="830"/>
      <c r="G293" s="830"/>
      <c r="H293" s="830"/>
      <c r="I293" s="1374">
        <v>11</v>
      </c>
      <c r="J293" s="1375">
        <v>11</v>
      </c>
      <c r="K293" s="31" t="b">
        <f>IF(AND(F293&gt;=I293,F293&lt;=J293),TRUE,FALSE)</f>
        <v>0</v>
      </c>
      <c r="L293" s="26"/>
      <c r="M293" s="26"/>
      <c r="N293" s="26"/>
      <c r="O293" s="1360"/>
      <c r="P293" s="1374">
        <v>11</v>
      </c>
      <c r="Q293" s="1375">
        <v>11</v>
      </c>
      <c r="R293" s="1351" t="b">
        <f>IF(AND(F293&gt;=P293,F293&lt;=Q293),TRUE,FALSE)</f>
        <v>0</v>
      </c>
      <c r="S293" s="1374">
        <v>11</v>
      </c>
      <c r="T293" s="1375">
        <v>11</v>
      </c>
      <c r="U293" s="1351" t="b">
        <f>IF(AND(F293&gt;=S293,F293&lt;=T293),TRUE,FALSE)</f>
        <v>0</v>
      </c>
      <c r="V293" s="32"/>
      <c r="W293" s="821"/>
      <c r="X293" s="822"/>
      <c r="Y293" s="821"/>
      <c r="Z293" s="822"/>
      <c r="AA293" s="821"/>
      <c r="AB293" s="822"/>
      <c r="AD293" s="10"/>
      <c r="AE293" s="10"/>
      <c r="AF293" s="10"/>
      <c r="AG293" s="832">
        <f>IF($K293=TRUE,H293,0)</f>
        <v>0</v>
      </c>
      <c r="AH293" s="832">
        <f>IF($R293=TRUE,H293,0)</f>
        <v>0</v>
      </c>
      <c r="AI293" s="832">
        <f>IF($U293=TRUE,H293,0)</f>
        <v>0</v>
      </c>
      <c r="AJ293" s="1490">
        <f t="shared" ref="AJ293:AJ294" si="570">IF(OR(I293=11,A293="F"),0,G293*I293)</f>
        <v>0</v>
      </c>
      <c r="AK293" s="1490">
        <f t="shared" ref="AK293:AK294" si="571">IF(OR(J293=11,A293="F"),0,G293*J293)</f>
        <v>0</v>
      </c>
      <c r="AL293" s="1490">
        <f t="shared" ref="AL293:AL294" si="572">IF(OR(P293=11,A293="F"),0,G293*P293)</f>
        <v>0</v>
      </c>
      <c r="AM293" s="1490">
        <f t="shared" ref="AM293:AM294" si="573">IF(OR(Q293=11,A293="F"),0,G293*Q293)</f>
        <v>0</v>
      </c>
      <c r="AN293" s="1490">
        <f t="shared" ref="AN293:AN294" si="574">IF(OR(S293=11,A293="F"),0,S293*G293)</f>
        <v>0</v>
      </c>
      <c r="AO293" s="1490">
        <f t="shared" ref="AO293:AO294" si="575">IF(OR(T293=11,A293="F"),0,T293*G293)</f>
        <v>0</v>
      </c>
      <c r="AY293" s="734"/>
      <c r="AZ293" s="734"/>
      <c r="BA293" s="87"/>
      <c r="BB293" s="442"/>
      <c r="BC293" s="89"/>
      <c r="BD293" s="446"/>
      <c r="BE293" s="446"/>
      <c r="BF293" s="89"/>
      <c r="BG293" s="447"/>
      <c r="BH293" s="447"/>
      <c r="BI293" s="443"/>
    </row>
    <row r="294" spans="1:78" ht="20" thickBot="1" x14ac:dyDescent="0.25">
      <c r="B294" s="1700"/>
      <c r="C294" s="825"/>
      <c r="D294" s="829"/>
      <c r="E294" s="826"/>
      <c r="F294" s="830"/>
      <c r="G294" s="830"/>
      <c r="H294" s="830">
        <f>F294*G294</f>
        <v>0</v>
      </c>
      <c r="I294" s="1374">
        <v>11</v>
      </c>
      <c r="J294" s="1375">
        <v>11</v>
      </c>
      <c r="K294" s="31" t="b">
        <f>IF(AND(F294&gt;=I294,F294&lt;=J294),TRUE,FALSE)</f>
        <v>0</v>
      </c>
      <c r="L294" s="26"/>
      <c r="M294" s="26"/>
      <c r="N294" s="26"/>
      <c r="O294" s="1360"/>
      <c r="P294" s="1374">
        <v>11</v>
      </c>
      <c r="Q294" s="1375">
        <v>11</v>
      </c>
      <c r="R294" s="1351" t="b">
        <f>IF(AND(F294&gt;=P294,F294&lt;=Q294),TRUE,FALSE)</f>
        <v>0</v>
      </c>
      <c r="S294" s="1374">
        <v>11</v>
      </c>
      <c r="T294" s="1375">
        <v>11</v>
      </c>
      <c r="U294" s="1351" t="b">
        <f>IF(AND(F294&gt;=S294,F294&lt;=T294),TRUE,FALSE)</f>
        <v>0</v>
      </c>
      <c r="W294" s="821"/>
      <c r="X294" s="822"/>
      <c r="Y294" s="821"/>
      <c r="Z294" s="822"/>
      <c r="AA294" s="821"/>
      <c r="AB294" s="822"/>
      <c r="AD294" s="10"/>
      <c r="AE294" s="10"/>
      <c r="AF294" s="10"/>
      <c r="AG294" s="832">
        <f>IF($K294=TRUE,H294,0)</f>
        <v>0</v>
      </c>
      <c r="AH294" s="832">
        <f>IF($R294=TRUE,H294,0)</f>
        <v>0</v>
      </c>
      <c r="AI294" s="832">
        <f>IF($U294=TRUE,H294,0)</f>
        <v>0</v>
      </c>
      <c r="AJ294" s="1490">
        <f t="shared" si="570"/>
        <v>0</v>
      </c>
      <c r="AK294" s="1490">
        <f t="shared" si="571"/>
        <v>0</v>
      </c>
      <c r="AL294" s="1490">
        <f t="shared" si="572"/>
        <v>0</v>
      </c>
      <c r="AM294" s="1490">
        <f t="shared" si="573"/>
        <v>0</v>
      </c>
      <c r="AN294" s="1490">
        <f t="shared" si="574"/>
        <v>0</v>
      </c>
      <c r="AO294" s="1490">
        <f t="shared" si="575"/>
        <v>0</v>
      </c>
      <c r="AY294" s="734"/>
      <c r="AZ294" s="734"/>
      <c r="BA294" s="87"/>
      <c r="BB294" s="442"/>
      <c r="BC294" s="89"/>
      <c r="BD294" s="446"/>
      <c r="BE294" s="446"/>
      <c r="BF294" s="89"/>
      <c r="BG294" s="447"/>
      <c r="BH294" s="447"/>
      <c r="BI294" s="443"/>
    </row>
    <row r="295" spans="1:78" ht="22" thickBot="1" x14ac:dyDescent="0.25">
      <c r="B295" s="1700"/>
      <c r="E295" s="16"/>
      <c r="F295" s="67"/>
      <c r="G295" s="438"/>
      <c r="H295" s="33">
        <f>IF(AND(K293=TRUE,K294=FALSE),H293,IF(AND(K293=FALSE,K294=TRUE),H294,MAX(H293,H294)))</f>
        <v>0</v>
      </c>
      <c r="I295" s="1371"/>
      <c r="J295" s="1372"/>
      <c r="K295" s="1378" t="b">
        <f>IF(AND(K293=FALSE,K294=FALSE),FALSE,TRUE)</f>
        <v>0</v>
      </c>
      <c r="L295" s="1361"/>
      <c r="M295" s="1362"/>
      <c r="N295" s="1362"/>
      <c r="O295" s="1363"/>
      <c r="P295" s="1371"/>
      <c r="Q295" s="1372"/>
      <c r="R295" s="1378" t="b">
        <f>IF(AND(R293=FALSE,R294=FALSE),FALSE,TRUE)</f>
        <v>0</v>
      </c>
      <c r="S295" s="1383"/>
      <c r="T295" s="1384"/>
      <c r="U295" s="1385" t="b">
        <f>IF(AND(U293=FALSE,U294=FALSE),FALSE,TRUE)</f>
        <v>0</v>
      </c>
      <c r="V295" s="809"/>
      <c r="W295" s="1315" t="str">
        <f>IF(K295=TRUE,"V","F")</f>
        <v>F</v>
      </c>
      <c r="X295" s="1316"/>
      <c r="Y295" s="1315" t="str">
        <f>IF(R295=TRUE,"V","F")</f>
        <v>F</v>
      </c>
      <c r="Z295" s="1316"/>
      <c r="AA295" s="1315" t="str">
        <f>IF(U295=TRUE,"V","F")</f>
        <v>F</v>
      </c>
      <c r="AB295" s="1316"/>
      <c r="AD295" s="10"/>
      <c r="AE295" s="10"/>
      <c r="AF295" s="10"/>
      <c r="AG295" s="1742">
        <f>IF(AND($K293=TRUE,$K294=FALSE),AG293,IF(AND($K293=FALSE,$K294=TRUE),AG294,MAX(AG293,AG294)))</f>
        <v>0</v>
      </c>
      <c r="AH295" s="1742">
        <f>IF(AND($R293=TRUE,$R294=FALSE),AH293,IF(AND($R293=FALSE,$R294=TRUE),AH294,MAX(AH293,AH294)))</f>
        <v>0</v>
      </c>
      <c r="AI295" s="1742">
        <f>IF(AND($U293=TRUE,$U294=FALSE),AI293,IF(AND($U293=FALSE,$U294=TRUE),AI294,MAX(AI293,AI294)))</f>
        <v>0</v>
      </c>
      <c r="AJ295" s="1742">
        <f>IF(AND($K293=TRUE,$K294=FALSE),AJ293,IF(AND($K293=FALSE,$K294=TRUE),AJ294,MAX(AJ293,AJ294)))</f>
        <v>0</v>
      </c>
      <c r="AK295" s="1742">
        <f>IF(AND($K293=TRUE,$K294=FALSE),AK293,IF(AND($K293=FALSE,$K294=TRUE),AK294,MAX(AK293,AK294)))</f>
        <v>0</v>
      </c>
      <c r="AL295" s="1742">
        <f>IF(AND($R293=TRUE,$R294=FALSE),AL293,IF(AND($R293=FALSE,$R294=TRUE),AL294,MAX(AL293,AL294)))</f>
        <v>0</v>
      </c>
      <c r="AM295" s="1742">
        <f>IF(AND($R293=TRUE,$R294=FALSE),AM293,IF(AND($R293=FALSE,$R294=TRUE),AM294,MAX(AM293,AM294)))</f>
        <v>0</v>
      </c>
      <c r="AN295" s="1742">
        <f>IF(AND($U293=TRUE,$U294=FALSE),AN293,IF(AND($U293=FALSE,$U294=TRUE),AN294,MAX(AN293,AN294)))</f>
        <v>0</v>
      </c>
      <c r="AO295" s="1742">
        <f>IF(AND($U293=TRUE,$U294=FALSE),AO293,IF(AND($U293=FALSE,$U294=TRUE),AO294,MAX(AO293,AO294)))</f>
        <v>0</v>
      </c>
      <c r="AY295" s="734"/>
      <c r="AZ295" s="734"/>
      <c r="BA295" s="87"/>
      <c r="BB295" s="442"/>
      <c r="BC295" s="89"/>
      <c r="BD295" s="446"/>
      <c r="BE295" s="446"/>
      <c r="BF295" s="89"/>
      <c r="BG295" s="447"/>
      <c r="BH295" s="447"/>
      <c r="BI295" s="443"/>
    </row>
    <row r="296" spans="1:78" ht="27" thickBot="1" x14ac:dyDescent="0.35">
      <c r="E296" s="16"/>
      <c r="F296" s="67"/>
      <c r="G296" s="438"/>
      <c r="H296" s="438"/>
      <c r="I296" s="8"/>
      <c r="J296" s="8"/>
      <c r="K296" s="808"/>
      <c r="L296" s="809"/>
      <c r="M296" s="809"/>
      <c r="N296" s="809"/>
      <c r="O296" s="809"/>
      <c r="P296" s="809"/>
      <c r="Q296" s="809"/>
      <c r="R296" s="809"/>
      <c r="S296" s="809"/>
      <c r="T296" s="809"/>
      <c r="U296" s="809"/>
      <c r="V296" s="809"/>
      <c r="W296" s="1376"/>
      <c r="X296" s="1377">
        <f>IF(AND(W295="V",W287="V"),X291-1,X291)</f>
        <v>1</v>
      </c>
      <c r="Y296" s="1376"/>
      <c r="Z296" s="1377">
        <f>IF(OR(Y287="V",Y290="V",Y295="V"),1,0)</f>
        <v>1</v>
      </c>
      <c r="AA296" s="1376"/>
      <c r="AB296" s="1377">
        <f>IF(AA287="V",1,IF(AA295="V",1,0))</f>
        <v>1</v>
      </c>
      <c r="AD296" s="10">
        <f>X296</f>
        <v>1</v>
      </c>
      <c r="AE296" s="10">
        <f>Z296</f>
        <v>1</v>
      </c>
      <c r="AF296" s="10">
        <f>AB296</f>
        <v>1</v>
      </c>
      <c r="AG296" s="1741">
        <f>IF($W295="F",AG291,AG291+AG295)</f>
        <v>22</v>
      </c>
      <c r="AH296" s="1741">
        <f>IF($Y295="F",AH291,AH291+AH295)</f>
        <v>4</v>
      </c>
      <c r="AI296" s="1741">
        <f>IF(AND($AA287="V",$AA295="F"),AI287,IF(AND($AA287="F",$AA295="V"),AI295,IF(AND($AA287="V",$AA295="V"),AI287+AI295,0)))</f>
        <v>22</v>
      </c>
      <c r="AJ296" s="1741">
        <f>IF($W295="F",AJ291,AJ291+AJ295)</f>
        <v>16</v>
      </c>
      <c r="AK296" s="1741">
        <f t="shared" ref="AK296" si="576">IF($W295="F",AK291,AK291+AK295)</f>
        <v>40</v>
      </c>
      <c r="AL296" s="1741">
        <f t="shared" ref="AL296" si="577">IF($Y295="F",AL291,AL291+AL295)</f>
        <v>4</v>
      </c>
      <c r="AM296" s="1741">
        <f t="shared" ref="AM296" si="578">IF($Y295="F",AM291,AM291+AM295)</f>
        <v>8</v>
      </c>
      <c r="AN296" s="1741">
        <f t="shared" ref="AN296" si="579">IF(AND($AA287="V",$AA295="F"),AN287,IF(AND($AA287="F",$AA295="V"),AN295,IF(AND($AA287="V",$AA295="V"),AN287+AN295,0)))</f>
        <v>16</v>
      </c>
      <c r="AO296" s="1741">
        <f t="shared" ref="AO296" si="580">IF(AND($AA287="V",$AA295="F"),AO287,IF(AND($AA287="F",$AA295="V"),AO295,IF(AND($AA287="V",$AA295="V"),AO287+AO295,0)))</f>
        <v>34</v>
      </c>
      <c r="AY296" s="734"/>
      <c r="AZ296" s="734"/>
      <c r="BA296" s="87"/>
      <c r="BB296" s="442"/>
      <c r="BC296" s="89"/>
      <c r="BD296" s="446"/>
      <c r="BE296" s="446"/>
      <c r="BF296" s="89"/>
      <c r="BG296" s="447"/>
      <c r="BH296" s="447"/>
      <c r="BI296" s="443"/>
    </row>
    <row r="297" spans="1:78" x14ac:dyDescent="0.3">
      <c r="D297" s="16"/>
      <c r="E297" s="16"/>
      <c r="F297" s="67"/>
      <c r="G297" s="438"/>
      <c r="H297" s="438"/>
      <c r="I297" s="1344"/>
      <c r="J297" s="1345"/>
      <c r="K297" s="1346"/>
      <c r="L297" s="2603"/>
      <c r="M297" s="2603"/>
      <c r="N297" s="2603"/>
      <c r="O297" s="1347"/>
      <c r="P297" s="1364"/>
      <c r="Q297" s="1346"/>
      <c r="R297" s="1347"/>
      <c r="S297" s="1364"/>
      <c r="T297" s="1346"/>
      <c r="U297" s="1347"/>
      <c r="V297" s="145"/>
      <c r="W297" s="1387"/>
      <c r="X297" s="1388"/>
      <c r="Y297" s="1231"/>
      <c r="Z297" s="1231"/>
      <c r="AA297" s="1231"/>
      <c r="AB297" s="1231"/>
      <c r="AD297" s="10"/>
      <c r="AE297" s="10"/>
      <c r="AF297" s="10"/>
      <c r="AY297" s="734"/>
      <c r="AZ297" s="734"/>
      <c r="BA297" s="87"/>
      <c r="BB297" s="442"/>
      <c r="BC297" s="89"/>
      <c r="BD297" s="446"/>
      <c r="BE297" s="446"/>
      <c r="BF297" s="89"/>
      <c r="BG297" s="447"/>
      <c r="BH297" s="447"/>
      <c r="BI297" s="443"/>
    </row>
    <row r="298" spans="1:78" x14ac:dyDescent="0.3">
      <c r="B298" s="1699">
        <v>14</v>
      </c>
      <c r="D298" s="441" t="str">
        <f>'Cpts AR +indép + Sommaire'!B46</f>
        <v>Organise des activités hors de sa garde</v>
      </c>
      <c r="E298" s="84"/>
      <c r="F298" s="50"/>
      <c r="G298" s="18"/>
      <c r="H298" s="18"/>
      <c r="I298" s="2595" t="s">
        <v>604</v>
      </c>
      <c r="J298" s="2596"/>
      <c r="K298" s="2596"/>
      <c r="L298" s="2597" t="s">
        <v>1086</v>
      </c>
      <c r="M298" s="2597"/>
      <c r="N298" s="2597"/>
      <c r="O298" s="2598"/>
      <c r="P298" s="2599" t="s">
        <v>603</v>
      </c>
      <c r="Q298" s="2600"/>
      <c r="R298" s="2601"/>
      <c r="S298" s="2590" t="s">
        <v>605</v>
      </c>
      <c r="T298" s="2591"/>
      <c r="U298" s="2592"/>
      <c r="V298" s="15"/>
      <c r="W298" s="817"/>
      <c r="X298" s="817"/>
      <c r="Y298" s="817"/>
      <c r="Z298" s="817"/>
      <c r="AA298" s="817"/>
      <c r="AB298" s="818"/>
      <c r="AD298" s="10"/>
      <c r="AE298" s="10"/>
      <c r="AF298" s="10"/>
      <c r="AG298" s="1386" t="s">
        <v>604</v>
      </c>
      <c r="AH298" s="1386" t="s">
        <v>603</v>
      </c>
      <c r="AI298" s="1386" t="s">
        <v>605</v>
      </c>
      <c r="AJ298" s="2589" t="s">
        <v>604</v>
      </c>
      <c r="AK298" s="2589"/>
      <c r="AL298" s="2589" t="s">
        <v>603</v>
      </c>
      <c r="AM298" s="2589"/>
      <c r="AN298" s="2589" t="s">
        <v>605</v>
      </c>
      <c r="AO298" s="2589"/>
      <c r="AY298" s="734"/>
      <c r="AZ298" s="734"/>
      <c r="BA298" s="87"/>
      <c r="BB298" s="442"/>
      <c r="BC298" s="89"/>
      <c r="BD298" s="446"/>
      <c r="BE298" s="446"/>
      <c r="BF298" s="89"/>
      <c r="BG298" s="447"/>
      <c r="BH298" s="447"/>
      <c r="BI298" s="443"/>
    </row>
    <row r="299" spans="1:78" ht="36" x14ac:dyDescent="0.3">
      <c r="D299" s="79" t="s">
        <v>779</v>
      </c>
      <c r="E299" s="835" t="s">
        <v>778</v>
      </c>
      <c r="F299" s="26" t="s">
        <v>226</v>
      </c>
      <c r="G299" s="26" t="s">
        <v>22</v>
      </c>
      <c r="H299" s="26" t="s">
        <v>612</v>
      </c>
      <c r="I299" s="1348" t="s">
        <v>269</v>
      </c>
      <c r="J299" s="29" t="s">
        <v>270</v>
      </c>
      <c r="K299" s="29" t="s">
        <v>271</v>
      </c>
      <c r="L299" s="29" t="s">
        <v>363</v>
      </c>
      <c r="M299" s="29" t="s">
        <v>339</v>
      </c>
      <c r="N299" s="29" t="s">
        <v>340</v>
      </c>
      <c r="O299" s="1349" t="s">
        <v>341</v>
      </c>
      <c r="P299" s="1348" t="s">
        <v>269</v>
      </c>
      <c r="Q299" s="29" t="s">
        <v>270</v>
      </c>
      <c r="R299" s="1349" t="s">
        <v>271</v>
      </c>
      <c r="S299" s="1348" t="s">
        <v>269</v>
      </c>
      <c r="T299" s="29" t="s">
        <v>270</v>
      </c>
      <c r="U299" s="1349" t="s">
        <v>271</v>
      </c>
      <c r="V299" s="736"/>
      <c r="W299" s="827" t="s">
        <v>604</v>
      </c>
      <c r="X299" s="828" t="s">
        <v>754</v>
      </c>
      <c r="Y299" s="827" t="s">
        <v>603</v>
      </c>
      <c r="Z299" s="828" t="s">
        <v>755</v>
      </c>
      <c r="AA299" s="827" t="s">
        <v>605</v>
      </c>
      <c r="AB299" s="828" t="s">
        <v>756</v>
      </c>
      <c r="AD299" s="10"/>
      <c r="AE299" s="10"/>
      <c r="AF299" s="10"/>
      <c r="AG299" s="10"/>
      <c r="AH299" s="10"/>
      <c r="AI299" s="10"/>
      <c r="AJ299" s="1490" t="s">
        <v>1058</v>
      </c>
      <c r="AK299" s="1490" t="s">
        <v>1059</v>
      </c>
      <c r="AL299" s="1490" t="s">
        <v>1058</v>
      </c>
      <c r="AM299" s="1490" t="s">
        <v>1059</v>
      </c>
      <c r="AN299" s="1490" t="s">
        <v>1058</v>
      </c>
      <c r="AO299" s="1490" t="s">
        <v>1059</v>
      </c>
      <c r="AY299" s="734"/>
      <c r="AZ299" s="734"/>
      <c r="BA299" s="87"/>
      <c r="BB299" s="442"/>
      <c r="BC299" s="89"/>
      <c r="BD299" s="446"/>
      <c r="BE299" s="446"/>
      <c r="BF299" s="89"/>
      <c r="BG299" s="447"/>
      <c r="BH299" s="447"/>
      <c r="BI299" s="443"/>
    </row>
    <row r="300" spans="1:78" ht="48" x14ac:dyDescent="0.2">
      <c r="A300" t="str">
        <f>IF(Test_Bible!B195="","F","O")</f>
        <v>O</v>
      </c>
      <c r="B300" s="1700" t="str">
        <f>'Cpts AR +indép + Sommaire'!G46</f>
        <v>Interférence temps et/ou communication</v>
      </c>
      <c r="C300" s="379" t="str">
        <f>'Cpts AR +indép + Sommaire'!C46</f>
        <v>PFA16b</v>
      </c>
      <c r="D300" s="698" t="str">
        <f>'Cpts AR +indép + Sommaire'!D46</f>
        <v>Arrive-t-il que l’autre parent organise et propose des activités à votre enfant sur votre temps de garde ?</v>
      </c>
      <c r="E300" s="78" t="s">
        <v>351</v>
      </c>
      <c r="F300" s="709">
        <f>'Cpts AR +indép + Sommaire'!E46</f>
        <v>7</v>
      </c>
      <c r="G300" s="709">
        <f>'Cpts AR +indép + Sommaire'!F46</f>
        <v>2</v>
      </c>
      <c r="H300" s="709">
        <f>F300*G300</f>
        <v>14</v>
      </c>
      <c r="I300" s="1350">
        <v>4</v>
      </c>
      <c r="J300" s="1343">
        <v>10</v>
      </c>
      <c r="K300" s="31" t="b">
        <f>IF(AND(F300&gt;=I300,F300&lt;=J300),TRUE,FALSE)</f>
        <v>1</v>
      </c>
      <c r="L300" s="31"/>
      <c r="M300" s="31"/>
      <c r="N300" s="31"/>
      <c r="O300" s="1351"/>
      <c r="P300" s="1350">
        <v>4</v>
      </c>
      <c r="Q300" s="1343">
        <v>7</v>
      </c>
      <c r="R300" s="1351" t="b">
        <f>IF(AND(F300&gt;=P300,F300&lt;=Q300),TRUE,FALSE)</f>
        <v>1</v>
      </c>
      <c r="S300" s="1374">
        <v>11</v>
      </c>
      <c r="T300" s="1375">
        <v>11</v>
      </c>
      <c r="U300" s="1351" t="b">
        <f>IF(AND(F300&gt;=S300,F300&lt;=T300),TRUE,FALSE)</f>
        <v>0</v>
      </c>
      <c r="V300" s="1327"/>
      <c r="W300" s="819"/>
      <c r="X300" s="820"/>
      <c r="Y300" s="819"/>
      <c r="Z300" s="820"/>
      <c r="AA300" s="819"/>
      <c r="AB300" s="820"/>
      <c r="AD300" s="10"/>
      <c r="AE300" s="10"/>
      <c r="AF300" s="10"/>
      <c r="AG300" s="832">
        <f>IF($K300=TRUE,H300,0)</f>
        <v>14</v>
      </c>
      <c r="AH300" s="832">
        <f>IF($R300=TRUE,H300,0)</f>
        <v>14</v>
      </c>
      <c r="AI300" s="832">
        <f>IF($U300=TRUE,H300,0)</f>
        <v>0</v>
      </c>
      <c r="AJ300" s="1490">
        <f>IF(OR(I300=11,A300="F"),0,G300*I300)</f>
        <v>8</v>
      </c>
      <c r="AK300" s="1490">
        <f>IF(OR(J300=11,A300="F"),0,G300*J300)</f>
        <v>20</v>
      </c>
      <c r="AL300" s="1490">
        <f>IF(OR(P300=11,A300="F"),0,G300*P300)</f>
        <v>8</v>
      </c>
      <c r="AM300" s="1490">
        <f>IF(OR(Q300=11,A300="F"),0,G300*Q300)</f>
        <v>14</v>
      </c>
      <c r="AN300" s="1490">
        <f>IF(OR(S300=11,A300="F"),0,S300*G300)</f>
        <v>0</v>
      </c>
      <c r="AO300" s="1490">
        <f>IF(OR(T300=11,A300="F"),0,T300*G300)</f>
        <v>0</v>
      </c>
      <c r="AY300" s="734"/>
      <c r="AZ300" s="734"/>
      <c r="BA300" s="87"/>
      <c r="BB300" s="442"/>
      <c r="BC300" s="89"/>
      <c r="BD300" s="446"/>
      <c r="BE300" s="446"/>
      <c r="BF300" s="89"/>
      <c r="BG300" s="447"/>
      <c r="BH300" s="447"/>
      <c r="BI300" s="443"/>
    </row>
    <row r="301" spans="1:78" ht="51" x14ac:dyDescent="0.2">
      <c r="A301" t="str">
        <f>IF(Test_Bible!B196="","F","O")</f>
        <v>O</v>
      </c>
      <c r="B301" s="1700" t="str">
        <f>'Cpts AR +indép + Sommaire'!G47</f>
        <v>Interférence temps et/ou communication</v>
      </c>
      <c r="C301" s="379" t="str">
        <f>'Cpts AR +indép + Sommaire'!C47</f>
        <v>PFA16b1</v>
      </c>
      <c r="D301" s="698" t="str">
        <f>'Cpts AR +indép + Sommaire'!D47</f>
        <v>Arrive-t-il que l’autre parent organise et propose des activités amusantes, voire irrésistibles à votre enfant durant votre temps de garde ?</v>
      </c>
      <c r="E301" s="78" t="s">
        <v>638</v>
      </c>
      <c r="F301" s="709">
        <f>'Cpts AR +indép + Sommaire'!E47</f>
        <v>7</v>
      </c>
      <c r="G301" s="709">
        <f>'Cpts AR +indép + Sommaire'!F47</f>
        <v>3</v>
      </c>
      <c r="H301" s="709">
        <f>F301*G301</f>
        <v>21</v>
      </c>
      <c r="I301" s="1350">
        <v>2</v>
      </c>
      <c r="J301" s="1343">
        <v>10</v>
      </c>
      <c r="K301" s="31" t="b">
        <f>IF(AND(F301&gt;=I301,F301&lt;=J301),TRUE,FALSE)</f>
        <v>1</v>
      </c>
      <c r="L301" s="31"/>
      <c r="M301" s="31"/>
      <c r="N301" s="31"/>
      <c r="O301" s="1351"/>
      <c r="P301" s="1350">
        <v>4</v>
      </c>
      <c r="Q301" s="1343">
        <v>7</v>
      </c>
      <c r="R301" s="1351" t="b">
        <f>IF(AND(F301&gt;=P301,F301&lt;=Q301),TRUE,FALSE)</f>
        <v>1</v>
      </c>
      <c r="S301" s="1350">
        <v>4</v>
      </c>
      <c r="T301" s="1343">
        <v>7</v>
      </c>
      <c r="U301" s="1351" t="b">
        <f>IF(AND(F301&gt;=S301,F301&lt;=T301),TRUE,FALSE)</f>
        <v>1</v>
      </c>
      <c r="V301" s="807"/>
      <c r="W301" s="821"/>
      <c r="X301" s="822"/>
      <c r="Y301" s="821"/>
      <c r="Z301" s="822"/>
      <c r="AA301" s="821"/>
      <c r="AB301" s="822"/>
      <c r="AD301" s="10"/>
      <c r="AE301" s="10"/>
      <c r="AF301" s="10"/>
      <c r="AG301" s="832">
        <f>IF($K301=TRUE,H301,0)</f>
        <v>21</v>
      </c>
      <c r="AH301" s="832">
        <f>IF($R301=TRUE,H301,0)</f>
        <v>21</v>
      </c>
      <c r="AI301" s="832">
        <f>IF($U301=TRUE,H301,0)</f>
        <v>21</v>
      </c>
      <c r="AJ301" s="1490">
        <f>IF(OR(I301=11,A301="F"),0,G301*I301)</f>
        <v>6</v>
      </c>
      <c r="AK301" s="1490">
        <f>IF(OR(J301=11,A301="F"),0,G301*J301)</f>
        <v>30</v>
      </c>
      <c r="AL301" s="1490">
        <f>IF(OR(P301=11,A301="F"),0,G301*P301)</f>
        <v>12</v>
      </c>
      <c r="AM301" s="1490">
        <f>IF(OR(Q301=11,A301="F"),0,G301*Q301)</f>
        <v>21</v>
      </c>
      <c r="AN301" s="1490">
        <f>IF(OR(S301=11,A301="F"),0,S301*G301)</f>
        <v>12</v>
      </c>
      <c r="AO301" s="1490">
        <f>IF(OR(T301=11,A301="F"),0,T301*G301)</f>
        <v>21</v>
      </c>
      <c r="AY301" s="734"/>
      <c r="AZ301" s="734"/>
      <c r="BA301" s="87"/>
      <c r="BB301" s="442"/>
      <c r="BC301" s="89"/>
      <c r="BD301" s="446"/>
      <c r="BE301" s="446"/>
      <c r="BF301" s="89"/>
      <c r="BG301" s="447"/>
      <c r="BH301" s="447"/>
      <c r="BI301" s="443"/>
    </row>
    <row r="302" spans="1:78" ht="51" x14ac:dyDescent="0.2">
      <c r="B302" s="1702"/>
      <c r="C302" s="710" t="s">
        <v>609</v>
      </c>
      <c r="D302" s="711" t="str">
        <f>_xlfn.XLOOKUP(H302,H300:H301,D300:D301)</f>
        <v>Arrive-t-il que l’autre parent organise et propose des activités amusantes, voire irrésistibles à votre enfant durant votre temps de garde ?</v>
      </c>
      <c r="E302" s="712" t="str">
        <f>_xlfn.XLOOKUP(H302,H300:H301,E300:E301)</f>
        <v>propose des activités irrésistibles à votre enfant sur votre temps de garde</v>
      </c>
      <c r="F302" s="713"/>
      <c r="G302" s="713"/>
      <c r="H302" s="713">
        <f>IF(AND(K300=TRUE,K301=FALSE),H300,IF(AND(K300=FALSE,K301=TRUE),H301,MAX(H300,H301)))</f>
        <v>21</v>
      </c>
      <c r="I302" s="1352"/>
      <c r="J302" s="714"/>
      <c r="K302" s="715" t="b">
        <f>IF(AND(K300=FALSE,K301=FALSE),FALSE,TRUE)</f>
        <v>1</v>
      </c>
      <c r="L302" s="31"/>
      <c r="M302" s="31"/>
      <c r="N302" s="31"/>
      <c r="O302" s="1351"/>
      <c r="P302" s="1352"/>
      <c r="Q302" s="714"/>
      <c r="R302" s="1365" t="b">
        <f>IF(AND(R300=FALSE,R301=FALSE),FALSE,TRUE)</f>
        <v>1</v>
      </c>
      <c r="S302" s="1352"/>
      <c r="T302" s="714"/>
      <c r="U302" s="1365" t="b">
        <f>IF(AND(U300=FALSE,U301=FALSE),FALSE,TRUE)</f>
        <v>1</v>
      </c>
      <c r="V302" s="807"/>
      <c r="W302" s="821"/>
      <c r="X302" s="822"/>
      <c r="Y302" s="821"/>
      <c r="Z302" s="822"/>
      <c r="AA302" s="821"/>
      <c r="AB302" s="822"/>
      <c r="AD302" s="10"/>
      <c r="AE302" s="10"/>
      <c r="AF302" s="10"/>
      <c r="AG302" s="1740">
        <f>IF($K302=TRUE,MAX(AG300:AG301),0)</f>
        <v>21</v>
      </c>
      <c r="AH302" s="1740">
        <f>IF($R302=TRUE,MAX(AH300:AH301),0)</f>
        <v>21</v>
      </c>
      <c r="AI302" s="1740">
        <f>IF($U302=TRUE,MAX(AI300:AI301),0)</f>
        <v>21</v>
      </c>
      <c r="AJ302" s="1739">
        <f>MAX(AJ300:AJ301)</f>
        <v>8</v>
      </c>
      <c r="AK302" s="1739">
        <f t="shared" ref="AK302" si="581">MAX(AK300:AK301)</f>
        <v>30</v>
      </c>
      <c r="AL302" s="1739">
        <f t="shared" ref="AL302" si="582">MAX(AL300:AL301)</f>
        <v>12</v>
      </c>
      <c r="AM302" s="1739">
        <f t="shared" ref="AM302" si="583">MAX(AM300:AM301)</f>
        <v>21</v>
      </c>
      <c r="AN302" s="1739">
        <f t="shared" ref="AN302" si="584">MAX(AN300:AN301)</f>
        <v>12</v>
      </c>
      <c r="AO302" s="1739">
        <f t="shared" ref="AO302" si="585">MAX(AO300:AO301)</f>
        <v>21</v>
      </c>
      <c r="AY302" s="734"/>
      <c r="AZ302" s="734"/>
      <c r="BA302" s="87"/>
      <c r="BB302" s="442"/>
      <c r="BC302" s="89"/>
      <c r="BD302" s="446"/>
      <c r="BE302" s="446"/>
      <c r="BF302" s="89"/>
      <c r="BG302" s="447"/>
      <c r="BH302" s="447"/>
      <c r="BI302" s="443"/>
    </row>
    <row r="303" spans="1:78" ht="51" x14ac:dyDescent="0.2">
      <c r="A303" t="str">
        <f>IF(Test_Bible!B418="","F","O")</f>
        <v>O</v>
      </c>
      <c r="B303" s="1531" t="str">
        <f>'Cpts AR +indép + Sommaire'!M43</f>
        <v>Interférence temps et/ou communication</v>
      </c>
      <c r="C303" s="38" t="str">
        <f>'Cpts AR +indép + Sommaire'!I46</f>
        <v>NC07a</v>
      </c>
      <c r="D303" s="25" t="str">
        <f>'Cpts AR +indép + Sommaire'!J46</f>
        <v xml:space="preserve">Arrive-t-il que le nouveau ou nouvelle conjoint·e organise des activités sur votre temps de garde ? </v>
      </c>
      <c r="E303" s="78" t="s">
        <v>657</v>
      </c>
      <c r="F303" s="709">
        <f>'Cpts AR +indép + Sommaire'!K46</f>
        <v>4</v>
      </c>
      <c r="G303" s="709">
        <f>'Cpts AR +indép + Sommaire'!L46</f>
        <v>2</v>
      </c>
      <c r="H303" s="709">
        <f>F303*G303</f>
        <v>8</v>
      </c>
      <c r="I303" s="1350">
        <v>4</v>
      </c>
      <c r="J303" s="1343">
        <v>10</v>
      </c>
      <c r="K303" s="31" t="b">
        <f>IF(AND(F303&gt;=I303,F303&lt;=J303),TRUE,FALSE)</f>
        <v>1</v>
      </c>
      <c r="L303" s="31"/>
      <c r="M303" s="31"/>
      <c r="N303" s="31"/>
      <c r="O303" s="1351"/>
      <c r="P303" s="1374">
        <v>11</v>
      </c>
      <c r="Q303" s="1375">
        <v>11</v>
      </c>
      <c r="R303" s="1351" t="b">
        <f>IF(AND(F303&gt;=P303,F303&lt;=Q303),TRUE,FALSE)</f>
        <v>0</v>
      </c>
      <c r="S303" s="1350">
        <v>4</v>
      </c>
      <c r="T303" s="1343">
        <v>10</v>
      </c>
      <c r="U303" s="1351" t="b">
        <f>IF(AND(F303&gt;=S303,F303&lt;=T303),TRUE,FALSE)</f>
        <v>1</v>
      </c>
      <c r="V303" s="807"/>
      <c r="W303" s="821"/>
      <c r="X303" s="822"/>
      <c r="Y303" s="821"/>
      <c r="Z303" s="822"/>
      <c r="AA303" s="821"/>
      <c r="AB303" s="822"/>
      <c r="AD303" s="10"/>
      <c r="AE303" s="10"/>
      <c r="AF303" s="10"/>
      <c r="AG303" s="832">
        <f>IF(K303=TRUE,H303,0)</f>
        <v>8</v>
      </c>
      <c r="AH303" s="832">
        <f>IF(R303=TRUE,H303,0)</f>
        <v>0</v>
      </c>
      <c r="AI303" s="832">
        <f>IF(U303=TRUE,H303,0)</f>
        <v>8</v>
      </c>
      <c r="AJ303" s="1490">
        <f t="shared" ref="AJ303:AJ304" si="586">IF(OR(I303=11,A303="F"),0,G303*I303)</f>
        <v>8</v>
      </c>
      <c r="AK303" s="1490">
        <f t="shared" ref="AK303:AK304" si="587">IF(OR(J303=11,A303="F"),0,G303*J303)</f>
        <v>20</v>
      </c>
      <c r="AL303" s="1490">
        <f t="shared" ref="AL303:AL304" si="588">IF(OR(P303=11,A303="F"),0,G303*P303)</f>
        <v>0</v>
      </c>
      <c r="AM303" s="1490">
        <f t="shared" ref="AM303:AM304" si="589">IF(OR(Q303=11,A303="F"),0,G303*Q303)</f>
        <v>0</v>
      </c>
      <c r="AN303" s="1490">
        <f t="shared" ref="AN303:AN304" si="590">IF(OR(S303=11,A303="F"),0,S303*G303)</f>
        <v>8</v>
      </c>
      <c r="AO303" s="1490">
        <f t="shared" ref="AO303:AO304" si="591">IF(OR(T303=11,A303="F"),0,T303*G303)</f>
        <v>20</v>
      </c>
      <c r="AY303" s="734"/>
      <c r="AZ303" s="734"/>
      <c r="BA303" s="87"/>
      <c r="BB303" s="442"/>
      <c r="BC303" s="89"/>
      <c r="BD303" s="446"/>
      <c r="BE303" s="446"/>
      <c r="BF303" s="89"/>
      <c r="BG303" s="447"/>
      <c r="BH303" s="447"/>
      <c r="BI303" s="443"/>
    </row>
    <row r="304" spans="1:78" ht="19" x14ac:dyDescent="0.2">
      <c r="B304" s="1700"/>
      <c r="C304" s="38" t="s">
        <v>242</v>
      </c>
      <c r="D304" s="25"/>
      <c r="E304" s="48"/>
      <c r="F304" s="27"/>
      <c r="G304" s="27"/>
      <c r="H304" s="27">
        <f>F304*G304</f>
        <v>0</v>
      </c>
      <c r="I304" s="1374">
        <v>11</v>
      </c>
      <c r="J304" s="1375">
        <v>11</v>
      </c>
      <c r="K304" s="31" t="b">
        <f>IF(AND(F304&gt;=I304,F304&lt;=J304),TRUE,FALSE)</f>
        <v>0</v>
      </c>
      <c r="L304" s="31"/>
      <c r="M304" s="31"/>
      <c r="N304" s="31"/>
      <c r="O304" s="1351"/>
      <c r="P304" s="1374">
        <v>11</v>
      </c>
      <c r="Q304" s="1375">
        <v>11</v>
      </c>
      <c r="R304" s="1351" t="b">
        <f>IF(AND(F304&gt;=P304,F304&lt;=Q304),TRUE,FALSE)</f>
        <v>0</v>
      </c>
      <c r="S304" s="1374">
        <v>11</v>
      </c>
      <c r="T304" s="1375">
        <v>11</v>
      </c>
      <c r="U304" s="1351" t="b">
        <f>IF(AND(F304&gt;=S304,F304&lt;=T304),TRUE,FALSE)</f>
        <v>0</v>
      </c>
      <c r="V304" s="807"/>
      <c r="W304" s="821"/>
      <c r="X304" s="822"/>
      <c r="Y304" s="821"/>
      <c r="Z304" s="822"/>
      <c r="AA304" s="821"/>
      <c r="AB304" s="822"/>
      <c r="AD304" s="10"/>
      <c r="AE304" s="10"/>
      <c r="AF304" s="10"/>
      <c r="AG304" s="832">
        <f>IF(K304=TRUE,H304,0)</f>
        <v>0</v>
      </c>
      <c r="AH304" s="832">
        <f>IF(R304=TRUE,H304,0)</f>
        <v>0</v>
      </c>
      <c r="AI304" s="832">
        <f>IF(U304=TRUE,H304,0)</f>
        <v>0</v>
      </c>
      <c r="AJ304" s="1490">
        <f t="shared" si="586"/>
        <v>0</v>
      </c>
      <c r="AK304" s="1490">
        <f t="shared" si="587"/>
        <v>0</v>
      </c>
      <c r="AL304" s="1490">
        <f t="shared" si="588"/>
        <v>0</v>
      </c>
      <c r="AM304" s="1490">
        <f t="shared" si="589"/>
        <v>0</v>
      </c>
      <c r="AN304" s="1490">
        <f t="shared" si="590"/>
        <v>0</v>
      </c>
      <c r="AO304" s="1490">
        <f t="shared" si="591"/>
        <v>0</v>
      </c>
      <c r="AV304" s="7"/>
      <c r="AX304" s="7"/>
      <c r="AY304" s="734"/>
      <c r="AZ304" s="734"/>
      <c r="BA304" s="87"/>
      <c r="BB304" s="442"/>
      <c r="BC304" s="89"/>
      <c r="BD304" s="446"/>
      <c r="BE304" s="446"/>
      <c r="BF304" s="89"/>
      <c r="BG304" s="447"/>
      <c r="BH304" s="447"/>
      <c r="BI304" s="443"/>
      <c r="BN304" s="25"/>
      <c r="BP304" s="7"/>
      <c r="BQ304" s="7"/>
      <c r="BR304" s="7"/>
      <c r="BS304" s="7"/>
      <c r="BT304" s="7"/>
      <c r="BU304" s="7"/>
      <c r="BV304" s="7"/>
      <c r="BW304" s="7"/>
      <c r="BX304" s="7"/>
      <c r="BY304" s="7"/>
      <c r="BZ304" s="7"/>
    </row>
    <row r="305" spans="1:78" ht="52" thickBot="1" x14ac:dyDescent="0.25">
      <c r="B305" s="1700"/>
      <c r="C305" s="716" t="s">
        <v>610</v>
      </c>
      <c r="D305" s="717" t="str">
        <f>_xlfn.XLOOKUP(H305,H303:H304,D303:D304)</f>
        <v xml:space="preserve">Arrive-t-il que le nouveau ou nouvelle conjoint·e organise des activités sur votre temps de garde ? </v>
      </c>
      <c r="E305" s="718" t="str">
        <f>_xlfn.XLOOKUP(H305,H303:H304,E303:E304)</f>
        <v>Le nouveau conjoint.e organise des activités hors de son temps de garde</v>
      </c>
      <c r="F305" s="719"/>
      <c r="G305" s="719"/>
      <c r="H305" s="713">
        <f>IF(AND(K303=TRUE,K304=FALSE),H303,IF(AND(K303=FALSE,K304=TRUE),H304,MAX(H303,H304)))</f>
        <v>8</v>
      </c>
      <c r="I305" s="1353"/>
      <c r="J305" s="720"/>
      <c r="K305" s="721" t="b">
        <f>IF(AND(K303=FALSE,K304=FALSE),FALSE,TRUE)</f>
        <v>1</v>
      </c>
      <c r="L305" s="31"/>
      <c r="M305" s="31"/>
      <c r="N305" s="31"/>
      <c r="O305" s="1351"/>
      <c r="P305" s="1353"/>
      <c r="Q305" s="720"/>
      <c r="R305" s="1366" t="b">
        <f>IF(AND(R303=FALSE,R304=FALSE),FALSE,TRUE)</f>
        <v>0</v>
      </c>
      <c r="S305" s="1353"/>
      <c r="T305" s="720"/>
      <c r="U305" s="1366" t="b">
        <f>IF(AND(U303=FALSE,U304=FALSE),FALSE,TRUE)</f>
        <v>1</v>
      </c>
      <c r="V305" s="807"/>
      <c r="W305" s="821"/>
      <c r="X305" s="822"/>
      <c r="Y305" s="821"/>
      <c r="Z305" s="822"/>
      <c r="AA305" s="821"/>
      <c r="AB305" s="822"/>
      <c r="AD305" s="10"/>
      <c r="AE305" s="10"/>
      <c r="AF305" s="10"/>
      <c r="AG305" s="1740">
        <f>IF($K305=TRUE,MAX(AG303:AG304),0)</f>
        <v>8</v>
      </c>
      <c r="AH305" s="1740">
        <f>IF($R305=TRUE,MAX(AH303:AH304),0)</f>
        <v>0</v>
      </c>
      <c r="AI305" s="1740">
        <f>IF($U305=TRUE,MAX(AI303:AI304),0)</f>
        <v>8</v>
      </c>
      <c r="AJ305" s="1739">
        <f>MAX(AJ303:AJ304)</f>
        <v>8</v>
      </c>
      <c r="AK305" s="1739">
        <f t="shared" ref="AK305" si="592">MAX(AK303:AK304)</f>
        <v>20</v>
      </c>
      <c r="AL305" s="1739">
        <f t="shared" ref="AL305" si="593">MAX(AL303:AL304)</f>
        <v>0</v>
      </c>
      <c r="AM305" s="1739">
        <f t="shared" ref="AM305" si="594">MAX(AM303:AM304)</f>
        <v>0</v>
      </c>
      <c r="AN305" s="1739">
        <f t="shared" ref="AN305" si="595">MAX(AN303:AN304)</f>
        <v>8</v>
      </c>
      <c r="AO305" s="1739">
        <f t="shared" ref="AO305" si="596">MAX(AO303:AO304)</f>
        <v>20</v>
      </c>
      <c r="AV305" s="7"/>
      <c r="AX305" s="7"/>
      <c r="AY305" s="734"/>
      <c r="AZ305" s="734"/>
      <c r="BA305" s="87"/>
      <c r="BB305" s="442"/>
      <c r="BC305" s="89"/>
      <c r="BD305" s="446"/>
      <c r="BE305" s="446"/>
      <c r="BF305" s="89"/>
      <c r="BG305" s="447"/>
      <c r="BH305" s="447"/>
      <c r="BI305" s="443"/>
      <c r="BN305" s="25"/>
      <c r="BP305" s="7"/>
      <c r="BQ305" s="7"/>
      <c r="BR305" s="7"/>
      <c r="BS305" s="7"/>
      <c r="BT305" s="7"/>
      <c r="BU305" s="7"/>
      <c r="BV305" s="7"/>
      <c r="BW305" s="7"/>
      <c r="BX305" s="7"/>
      <c r="BY305" s="7"/>
      <c r="BZ305" s="7"/>
    </row>
    <row r="306" spans="1:78" ht="52" thickBot="1" x14ac:dyDescent="0.25">
      <c r="B306" s="1700"/>
      <c r="C306" s="722" t="s">
        <v>616</v>
      </c>
      <c r="D306" s="723"/>
      <c r="E306" s="723" t="str">
        <f>IF(H306=H302,E302,E305)</f>
        <v>Le nouveau conjoint.e organise des activités hors de son temps de garde</v>
      </c>
      <c r="F306" s="724"/>
      <c r="G306" s="724"/>
      <c r="H306" s="724">
        <f>IF(AND(K302=TRUE,K305=FALSE),H302,IF(AND(K302=FALSE,K305=TRUE),H305,IF(AND(K302=TRUE,K305=TRUE),H302+H305,MAX(H302,H305))))</f>
        <v>29</v>
      </c>
      <c r="I306" s="1354"/>
      <c r="J306" s="725"/>
      <c r="K306" s="726" t="b">
        <f>IF(AND(K302=FALSE,K305=FALSE),FALSE,TRUE)</f>
        <v>1</v>
      </c>
      <c r="L306" s="1338"/>
      <c r="M306" s="1338"/>
      <c r="N306" s="1338"/>
      <c r="O306" s="1355"/>
      <c r="P306" s="1354"/>
      <c r="Q306" s="725"/>
      <c r="R306" s="726" t="b">
        <f>IF(AND(R302=FALSE,R305=FALSE),FALSE,TRUE)</f>
        <v>1</v>
      </c>
      <c r="S306" s="1354"/>
      <c r="T306" s="725"/>
      <c r="U306" s="726" t="b">
        <f>IF(AND(U302=FALSE,U305=FALSE),FALSE,TRUE)</f>
        <v>1</v>
      </c>
      <c r="V306" s="807"/>
      <c r="W306" s="821" t="str">
        <f>IF(K306=TRUE,"V","F")</f>
        <v>V</v>
      </c>
      <c r="X306" s="822"/>
      <c r="Y306" s="821" t="str">
        <f>IF(R306=TRUE,"V","F")</f>
        <v>V</v>
      </c>
      <c r="Z306" s="822"/>
      <c r="AA306" s="821" t="str">
        <f>IF(U306=TRUE,"V","F")</f>
        <v>V</v>
      </c>
      <c r="AB306" s="822"/>
      <c r="AC306" t="str">
        <f>IF(OR(W306="V",Y306="V"),IF(H305&gt;H302,"Le NC contribue plus que le coparent","Le coparent joue un plus grand rôle que le NC"),"pas de contexte significatif de la part du coparent et NC")</f>
        <v>Le coparent joue un plus grand rôle que le NC</v>
      </c>
      <c r="AD306" s="10"/>
      <c r="AE306" s="10"/>
      <c r="AF306" s="10"/>
      <c r="AG306" s="591">
        <f>IF(AND($K302=TRUE,$K305=FALSE),AG302,IF(AND($K302=FALSE,$K305=TRUE),AG305,IF(AND($K302=TRUE,$K305=TRUE),AG302+AG305,0)))</f>
        <v>29</v>
      </c>
      <c r="AH306" s="591">
        <f>IF(AND($R302=TRUE,$R305=FALSE),AH302,IF(AND($R302=FALSE,$R305=TRUE),AH305,IF(AND($R302=TRUE,$R305=TRUE),AH302+AH305,0)))</f>
        <v>21</v>
      </c>
      <c r="AI306" s="591">
        <f>IF(AND($U302=TRUE,$U305=FALSE),AI302,IF(AND($U302=FALSE,$U305=TRUE),AI305,IF(AND($U302=TRUE,$U305=TRUE),AI302+AI305,0)))</f>
        <v>29</v>
      </c>
      <c r="AJ306" s="591">
        <f>IF(AND($K302=TRUE,$K305=FALSE),AJ302,IF(AND($K302=FALSE,$K305=TRUE),AJ305,IF(AND($K302=TRUE,$K305=TRUE),AJ302+AJ305,MAX(AJ302,AJ305))))</f>
        <v>16</v>
      </c>
      <c r="AK306" s="591">
        <f>IF(AND($K302=TRUE,$K305=FALSE),AK302,IF(AND($K302=FALSE,$K305=TRUE),AK305,IF(AND($K302=TRUE,$K305=TRUE),AK302+AK305,MAX(AK302,AK305))))</f>
        <v>50</v>
      </c>
      <c r="AL306" s="591">
        <f t="shared" ref="AL306" si="597">IF(AND($R302=TRUE,$R305=FALSE),AL302,IF(AND($R302=FALSE,$R305=TRUE),AL305,IF(AND($R302=TRUE,$R305=TRUE),AL302+AL305,MAX(AL302,AL305))))</f>
        <v>12</v>
      </c>
      <c r="AM306" s="591">
        <f t="shared" ref="AM306" si="598">IF(AND($R302=TRUE,$R305=FALSE),AM302,IF(AND($R302=FALSE,$R305=TRUE),AM305,IF(AND($R302=TRUE,$R305=TRUE),AM302+AM305,MAX(AM302,AM305))))</f>
        <v>21</v>
      </c>
      <c r="AN306" s="591">
        <f t="shared" ref="AN306" si="599">IF(AND($U302=TRUE,$U305=FALSE),AN302,IF(AND($U302=FALSE,$U305=TRUE),AN305,IF(AND($U302=TRUE,$U305=TRUE),AN302+AN305,MAX(AN302,AN305))))</f>
        <v>20</v>
      </c>
      <c r="AO306" s="591">
        <f t="shared" ref="AO306" si="600">IF(AND($U302=TRUE,$U305=FALSE),AO302,IF(AND($U302=FALSE,$U305=TRUE),AO305,IF(AND($U302=TRUE,$U305=TRUE),AO302+AO305,MAX(AO302,AO305))))</f>
        <v>41</v>
      </c>
      <c r="AV306" s="7"/>
      <c r="AX306" s="7"/>
      <c r="AY306" s="734"/>
      <c r="AZ306" s="734"/>
      <c r="BA306" s="87"/>
      <c r="BB306" s="442"/>
      <c r="BC306" s="89"/>
      <c r="BD306" s="446"/>
      <c r="BE306" s="446"/>
      <c r="BF306" s="89"/>
      <c r="BG306" s="447"/>
      <c r="BH306" s="447"/>
      <c r="BI306" s="443"/>
      <c r="BN306" s="25"/>
      <c r="BP306" s="7"/>
      <c r="BQ306" s="7"/>
      <c r="BR306" s="7"/>
      <c r="BS306" s="7"/>
      <c r="BT306" s="7"/>
      <c r="BU306" s="7"/>
      <c r="BV306" s="7"/>
      <c r="BW306" s="7"/>
      <c r="BX306" s="7"/>
      <c r="BY306" s="7"/>
      <c r="BZ306" s="7"/>
    </row>
    <row r="307" spans="1:78" ht="68" x14ac:dyDescent="0.2">
      <c r="A307" t="str">
        <f>IF(Test_Bible!B297="","F","O")</f>
        <v>O</v>
      </c>
      <c r="B307" s="1700" t="str">
        <f>'Cpts AR +indép + Sommaire'!S46</f>
        <v>Interférence temps ou communication</v>
      </c>
      <c r="C307" s="287" t="str">
        <f>'Cpts AR +indép + Sommaire'!O46</f>
        <v>E16a2</v>
      </c>
      <c r="D307" s="698" t="str">
        <f>'Cpts AR +indép + Sommaire'!P46</f>
        <v>Arrive-t-il à votre enfant de changer d’idée concernant une activité prévue à l’horaire avec vous ?  D’abord enthousiaste, votre enfant trouve subitement (dernière minute) des excuses pour ne pas participer à l’activité ?</v>
      </c>
      <c r="E307" s="78" t="s">
        <v>639</v>
      </c>
      <c r="F307" s="709">
        <f>'Cpts AR +indép + Sommaire'!Q46</f>
        <v>2</v>
      </c>
      <c r="G307" s="709">
        <f>'Cpts AR +indép + Sommaire'!R46</f>
        <v>3</v>
      </c>
      <c r="H307" s="709">
        <f>F307*G307</f>
        <v>6</v>
      </c>
      <c r="I307" s="1350">
        <v>2</v>
      </c>
      <c r="J307" s="1343">
        <v>10</v>
      </c>
      <c r="K307" s="31" t="b">
        <f>IF(AND(F307&gt;=I307,F307&lt;=J307),TRUE,FALSE)</f>
        <v>1</v>
      </c>
      <c r="L307" s="31"/>
      <c r="M307" s="31"/>
      <c r="N307" s="31"/>
      <c r="O307" s="1351"/>
      <c r="P307" s="1350">
        <v>2</v>
      </c>
      <c r="Q307" s="1343">
        <v>7</v>
      </c>
      <c r="R307" s="1351" t="b">
        <f>IF(AND(F307&gt;=P307,F307&lt;=Q307),TRUE,FALSE)</f>
        <v>1</v>
      </c>
      <c r="S307" s="1350"/>
      <c r="T307" s="1343"/>
      <c r="U307" s="1351"/>
      <c r="V307" s="807"/>
      <c r="W307" s="821" t="s">
        <v>753</v>
      </c>
      <c r="X307" s="822"/>
      <c r="Y307" s="821"/>
      <c r="Z307" s="822"/>
      <c r="AA307" s="821"/>
      <c r="AB307" s="822"/>
      <c r="AD307" s="10"/>
      <c r="AE307" s="10"/>
      <c r="AF307" s="10"/>
      <c r="AG307" s="832">
        <f>IF($K307=TRUE,H307,0)</f>
        <v>6</v>
      </c>
      <c r="AH307" s="832">
        <f>IF($R307=TRUE,H307,0)</f>
        <v>6</v>
      </c>
      <c r="AI307" s="832"/>
      <c r="AJ307" s="1490">
        <f t="shared" ref="AJ307:AJ308" si="601">IF(OR(I307=11,A307="F"),0,G307*I307)</f>
        <v>6</v>
      </c>
      <c r="AK307" s="1490">
        <f t="shared" ref="AK307:AK308" si="602">IF(OR(J307=11,A307="F"),0,G307*J307)</f>
        <v>30</v>
      </c>
      <c r="AL307" s="1490">
        <f t="shared" ref="AL307:AL308" si="603">IF(OR(P307=11,A307="F"),0,G307*P307)</f>
        <v>6</v>
      </c>
      <c r="AM307" s="1490">
        <f t="shared" ref="AM307:AM308" si="604">IF(OR(Q307=11,A307="F"),0,G307*Q307)</f>
        <v>21</v>
      </c>
      <c r="AN307" s="1490">
        <f t="shared" ref="AN307:AN308" si="605">IF(OR(S307=11,A307="F"),0,S307*G307)</f>
        <v>0</v>
      </c>
      <c r="AO307" s="1490">
        <f t="shared" ref="AO307:AO308" si="606">IF(OR(T307=11,A307="F"),0,T307*G307)</f>
        <v>0</v>
      </c>
      <c r="AV307" s="7"/>
      <c r="AX307" s="7"/>
      <c r="AY307" s="734"/>
      <c r="AZ307" s="734"/>
      <c r="BA307" s="87"/>
      <c r="BB307" s="442"/>
      <c r="BC307" s="89"/>
      <c r="BD307" s="446"/>
      <c r="BE307" s="446"/>
      <c r="BF307" s="89"/>
      <c r="BG307" s="447"/>
      <c r="BH307" s="447"/>
      <c r="BI307" s="443"/>
      <c r="BN307" s="25"/>
      <c r="BP307" s="7"/>
      <c r="BQ307" s="7"/>
      <c r="BR307" s="7"/>
      <c r="BS307" s="7"/>
      <c r="BT307" s="7"/>
      <c r="BU307" s="7"/>
      <c r="BV307" s="7"/>
      <c r="BW307" s="7"/>
      <c r="BX307" s="7"/>
      <c r="BY307" s="7"/>
      <c r="BZ307" s="7"/>
    </row>
    <row r="308" spans="1:78" ht="49" thickBot="1" x14ac:dyDescent="0.25">
      <c r="A308" t="str">
        <f>IF(Test_Bible!B298="","F","O")</f>
        <v>O</v>
      </c>
      <c r="B308" s="1700" t="str">
        <f>'Cpts AR +indép + Sommaire'!S47</f>
        <v>Interférence temps ou communication</v>
      </c>
      <c r="C308" s="287" t="str">
        <f>'Cpts AR +indép + Sommaire'!O47</f>
        <v>E16a3</v>
      </c>
      <c r="D308" s="698" t="str">
        <f>'Cpts AR +indép + Sommaire'!P47</f>
        <v>Votre enfant subit une pression pour passer plus de temps chez l'autre parent.</v>
      </c>
      <c r="E308" s="78" t="s">
        <v>637</v>
      </c>
      <c r="F308" s="709">
        <f>'Cpts AR +indép + Sommaire'!Q47</f>
        <v>7</v>
      </c>
      <c r="G308" s="709">
        <f>'Cpts AR +indép + Sommaire'!R47</f>
        <v>3</v>
      </c>
      <c r="H308" s="709">
        <f>F308*G308</f>
        <v>21</v>
      </c>
      <c r="I308" s="1350">
        <v>4</v>
      </c>
      <c r="J308" s="1343">
        <v>10</v>
      </c>
      <c r="K308" s="31" t="b">
        <f>IF(AND(F308&gt;=I308,F308&lt;=J308),TRUE,FALSE)</f>
        <v>1</v>
      </c>
      <c r="L308" s="31"/>
      <c r="M308" s="31"/>
      <c r="N308" s="31"/>
      <c r="O308" s="1351"/>
      <c r="P308" s="1350">
        <v>2</v>
      </c>
      <c r="Q308" s="1343">
        <v>7</v>
      </c>
      <c r="R308" s="1351" t="b">
        <f>IF(AND(F308&gt;=P308,F308&lt;=Q308),TRUE,FALSE)</f>
        <v>1</v>
      </c>
      <c r="S308" s="1374"/>
      <c r="T308" s="1375"/>
      <c r="U308" s="1351"/>
      <c r="V308" s="807"/>
      <c r="W308" s="821"/>
      <c r="X308" s="822"/>
      <c r="Y308" s="821"/>
      <c r="Z308" s="822"/>
      <c r="AA308" s="821"/>
      <c r="AB308" s="822"/>
      <c r="AD308" s="10"/>
      <c r="AE308" s="10"/>
      <c r="AF308" s="10"/>
      <c r="AG308" s="832">
        <f>IF($K308=TRUE,H308,0)</f>
        <v>21</v>
      </c>
      <c r="AH308" s="832">
        <f>IF($R308=TRUE,H308,0)</f>
        <v>21</v>
      </c>
      <c r="AI308" s="832"/>
      <c r="AJ308" s="1490">
        <f t="shared" si="601"/>
        <v>12</v>
      </c>
      <c r="AK308" s="1490">
        <f t="shared" si="602"/>
        <v>30</v>
      </c>
      <c r="AL308" s="1490">
        <f t="shared" si="603"/>
        <v>6</v>
      </c>
      <c r="AM308" s="1490">
        <f t="shared" si="604"/>
        <v>21</v>
      </c>
      <c r="AN308" s="1490">
        <f t="shared" si="605"/>
        <v>0</v>
      </c>
      <c r="AO308" s="1490">
        <f t="shared" si="606"/>
        <v>0</v>
      </c>
      <c r="AV308" s="7"/>
      <c r="AX308" s="7"/>
      <c r="AY308" s="734"/>
      <c r="AZ308" s="734"/>
      <c r="BA308" s="87"/>
      <c r="BB308" s="442"/>
      <c r="BC308" s="89"/>
      <c r="BD308" s="446"/>
      <c r="BE308" s="446"/>
      <c r="BF308" s="89"/>
      <c r="BG308" s="447"/>
      <c r="BH308" s="447"/>
      <c r="BI308" s="443"/>
      <c r="BN308" s="25"/>
      <c r="BP308" s="7"/>
      <c r="BQ308" s="7"/>
      <c r="BR308" s="7"/>
      <c r="BS308" s="7"/>
      <c r="BT308" s="7"/>
      <c r="BU308" s="7"/>
      <c r="BV308" s="7"/>
      <c r="BW308" s="7"/>
      <c r="BX308" s="7"/>
      <c r="BY308" s="7"/>
      <c r="BZ308" s="7"/>
    </row>
    <row r="309" spans="1:78" ht="35" thickBot="1" x14ac:dyDescent="0.25">
      <c r="B309" s="1700"/>
      <c r="C309" s="727" t="s">
        <v>611</v>
      </c>
      <c r="D309" s="728" t="str">
        <f>_xlfn.XLOOKUP(H309,H307:H308,D307:D308)</f>
        <v>Votre enfant subit une pression pour passer plus de temps chez l'autre parent.</v>
      </c>
      <c r="E309" s="728" t="str">
        <f>_xlfn.XLOOKUP(H309,H307:H308,E307:E308)</f>
        <v>subit de la pression pour passer plus de temps chez l'autre</v>
      </c>
      <c r="F309" s="729"/>
      <c r="G309" s="729"/>
      <c r="H309" s="729">
        <f>IF(AND(K307=TRUE,K308=FALSE),H307,IF(AND(K307=FALSE,K308=TRUE),H308,MAX(H307,H308)))</f>
        <v>21</v>
      </c>
      <c r="I309" s="1356"/>
      <c r="J309" s="730"/>
      <c r="K309" s="731" t="b">
        <f>IF(AND(K307=FALSE,K308=FALSE),FALSE,TRUE)</f>
        <v>1</v>
      </c>
      <c r="L309" s="1339"/>
      <c r="M309" s="1339"/>
      <c r="N309" s="1339"/>
      <c r="O309" s="1357"/>
      <c r="P309" s="1356"/>
      <c r="Q309" s="730"/>
      <c r="R309" s="731" t="b">
        <f>IF(AND(R307=FALSE,R308=FALSE),FALSE,TRUE)</f>
        <v>1</v>
      </c>
      <c r="S309" s="1356"/>
      <c r="T309" s="730"/>
      <c r="U309" s="731"/>
      <c r="V309" s="807"/>
      <c r="W309" s="821" t="str">
        <f>IF(K309=TRUE,"V","F")</f>
        <v>V</v>
      </c>
      <c r="X309" s="822"/>
      <c r="Y309" s="821" t="str">
        <f>IF(R309=TRUE,"V","F")</f>
        <v>V</v>
      </c>
      <c r="Z309" s="822"/>
      <c r="AA309" s="821"/>
      <c r="AB309" s="822"/>
      <c r="AD309" s="10"/>
      <c r="AE309" s="10"/>
      <c r="AF309" s="10"/>
      <c r="AG309" s="1742">
        <f>IF(AND($K307=TRUE,$K308=FALSE),AG307,IF(AND($K307=FALSE,$K308=TRUE),AG308,IF(AND($K307=TRUE,$K308=TRUE),MAX(AG307,AG308),0)))</f>
        <v>21</v>
      </c>
      <c r="AH309" s="1742">
        <f>IF(AND($R307=TRUE,$R308=FALSE),AH307,IF(AND($R307=FALSE,$R308=TRUE),AH308,IF(AND($R307=TRUE,$R308=TRUE),MAX(AH307,AH308),0)))</f>
        <v>21</v>
      </c>
      <c r="AI309" s="1742"/>
      <c r="AJ309" s="1742">
        <f>IF(AND($K307=TRUE,$K308=FALSE),AJ307,IF(AND($K307=FALSE,$K308=TRUE),AJ308,IF(AND($K307=TRUE,$K308=TRUE),MAX(AJ307,AJ308),0)))</f>
        <v>12</v>
      </c>
      <c r="AK309" s="1742">
        <f>IF(AND($K307=TRUE,$K308=FALSE),AK307,IF(AND($K307=FALSE,$K308=TRUE),AK308,IF(AND($K307=TRUE,$K308=TRUE),MAX(AK307,AK308),0)))</f>
        <v>30</v>
      </c>
      <c r="AL309" s="1742">
        <f t="shared" ref="AL309" si="607">IF(AND($R307=TRUE,$R308=FALSE),AL307,IF(AND($R307=FALSE,$R308=TRUE),AL308,IF(AND($R307=TRUE,$R308=TRUE),MAX(AL307,AL308),0)))</f>
        <v>6</v>
      </c>
      <c r="AM309" s="1742">
        <f t="shared" ref="AM309" si="608">IF(AND($R307=TRUE,$R308=FALSE),AM307,IF(AND($R307=FALSE,$R308=TRUE),AM308,IF(AND($R307=TRUE,$R308=TRUE),MAX(AM307,AM308),0)))</f>
        <v>21</v>
      </c>
      <c r="AN309" s="1742"/>
      <c r="AO309" s="1742"/>
      <c r="AY309" s="734"/>
      <c r="AZ309" s="734"/>
      <c r="BA309" s="87"/>
      <c r="BB309" s="442"/>
      <c r="BC309" s="89"/>
      <c r="BD309" s="446"/>
      <c r="BE309" s="446"/>
      <c r="BF309" s="89"/>
      <c r="BG309" s="447"/>
      <c r="BH309" s="447"/>
      <c r="BI309" s="443"/>
    </row>
    <row r="310" spans="1:78" ht="34" x14ac:dyDescent="0.2">
      <c r="B310" s="1700"/>
      <c r="D310" s="386" t="s">
        <v>273</v>
      </c>
      <c r="E310" s="705"/>
      <c r="F310" s="439" t="s">
        <v>349</v>
      </c>
      <c r="G310" s="33"/>
      <c r="H310" s="33">
        <f>IF(AND(K306=TRUE,K309=FALSE),H306,IF(AND(K306=FALSE,K309=TRUE),H309,IF(AND(K306=TRUE,K309=TRUE),H306+H309,MAX(H306,H309))))</f>
        <v>50</v>
      </c>
      <c r="I310" s="1358"/>
      <c r="J310" s="440"/>
      <c r="K310" s="1341"/>
      <c r="L310" s="1342" t="str">
        <f>IF(AND(K309=TRUE,K306=TRUE),E309,"")</f>
        <v>subit de la pression pour passer plus de temps chez l'autre</v>
      </c>
      <c r="M310" s="1342" t="str">
        <f>IF(AND(K306=TRUE,K309=FALSE),"Bien que le parent "&amp;E306&amp;" l'enfant ne semble pas s'ingérer","")</f>
        <v/>
      </c>
      <c r="N310" s="1342" t="str">
        <f>IF(AND(K306=FALSE,K309=TRUE),E309&amp;" sans signe de la participation du parent favorisé et|ou nouveau conjoint.e","")</f>
        <v/>
      </c>
      <c r="O310" s="1359" t="str">
        <f>IF(AND(K306=FALSE,K309=FALSE),"aucun comportement significatif de cette nature","")</f>
        <v/>
      </c>
      <c r="P310" s="1358"/>
      <c r="Q310" s="440"/>
      <c r="R310" s="1367"/>
      <c r="S310" s="1358"/>
      <c r="T310" s="440"/>
      <c r="U310" s="1367"/>
      <c r="V310" s="145"/>
      <c r="W310" s="823"/>
      <c r="X310" s="824">
        <f>IF(AND(W306="V",W309="V"),2,IF(OR(W306="V",W309="V"),1,0))</f>
        <v>2</v>
      </c>
      <c r="Y310" s="823"/>
      <c r="Z310" s="824">
        <f>IF(OR(Y306="V",Y309="V"),1,0)</f>
        <v>1</v>
      </c>
      <c r="AA310" s="823"/>
      <c r="AB310" s="824"/>
      <c r="AD310" s="10"/>
      <c r="AE310" s="10"/>
      <c r="AF310" s="10"/>
      <c r="AG310" s="1738">
        <f>IF(AND($W306="V",$W309="F"),AG306,IF(AND($W306="F",$W309="V"),AG309,IF(AND($W306="V",$W309="V"),AG306+AG309,0)))</f>
        <v>50</v>
      </c>
      <c r="AH310" s="1738">
        <f>IF(AND($Y306="V",$Y309="F"),AH306,IF(AND($Y306="F",$Y309="V"),AH309,IF(AND($Y306="V",$Y309="V"),AH306+AH309,0)))</f>
        <v>42</v>
      </c>
      <c r="AI310" s="1738"/>
      <c r="AJ310" s="1738">
        <f>IF(AND($W306="V",$W309="F"),AJ306,IF(AND($W306="F",$W309="V"),AJ309,IF(AND($W306="V",$W309="V"),AJ306+AJ309,0)))</f>
        <v>28</v>
      </c>
      <c r="AK310" s="1738">
        <f>IF(AND($W306="V",$W309="F"),AK306,IF(AND($W306="F",$W309="V"),AK309,IF(AND($W306="V",$W309="V"),AK306+AK309,0)))</f>
        <v>80</v>
      </c>
      <c r="AL310" s="1738">
        <f>IF(AND($Y306="V",$Y309="F"),AL306,IF(AND($Y306="F",$Y309="V"),AL309,IF(AND($Y306="V",$Y309="V"),AL306+AL309,0)))</f>
        <v>18</v>
      </c>
      <c r="AM310" s="1738">
        <f>IF(AND($Y306="V",$Y309="F"),AM306,IF(AND($Y306="F",$Y309="V"),AM309,IF(AND($Y306="V",$Y309="V"),AM306+AM309,0)))</f>
        <v>42</v>
      </c>
      <c r="AN310" s="1738"/>
      <c r="AO310" s="1738"/>
      <c r="AY310" s="734"/>
      <c r="AZ310" s="734"/>
      <c r="BA310" s="87"/>
      <c r="BB310" s="442"/>
      <c r="BC310" s="89"/>
      <c r="BD310" s="446"/>
      <c r="BE310" s="446"/>
      <c r="BF310" s="89"/>
      <c r="BG310" s="447"/>
      <c r="BH310" s="447"/>
      <c r="BI310" s="443"/>
    </row>
    <row r="311" spans="1:78" ht="19" x14ac:dyDescent="0.2">
      <c r="B311" s="1700"/>
      <c r="C311" t="s">
        <v>238</v>
      </c>
      <c r="I311" s="122"/>
      <c r="L311" s="32"/>
      <c r="M311" s="32"/>
      <c r="N311" s="32"/>
      <c r="O311" s="1379"/>
      <c r="P311" s="122"/>
      <c r="R311" s="292"/>
      <c r="S311" s="122"/>
      <c r="U311" s="292"/>
      <c r="V311" s="32"/>
      <c r="W311" s="821"/>
      <c r="X311" s="822"/>
      <c r="Y311" s="821"/>
      <c r="Z311" s="822"/>
      <c r="AA311" s="821"/>
      <c r="AB311" s="822"/>
      <c r="AD311" s="10"/>
      <c r="AE311" s="10"/>
      <c r="AF311" s="10"/>
      <c r="AG311" s="832"/>
      <c r="AH311" s="832"/>
      <c r="AI311" s="832"/>
      <c r="AJ311" s="1490"/>
      <c r="AK311" s="1490"/>
      <c r="AL311" s="1490"/>
      <c r="AM311" s="1490"/>
      <c r="AN311" s="1490"/>
      <c r="AO311" s="1490"/>
      <c r="AY311" s="734"/>
      <c r="AZ311" s="734"/>
      <c r="BA311" s="87"/>
      <c r="BB311" s="442"/>
      <c r="BC311" s="89"/>
      <c r="BD311" s="446"/>
      <c r="BE311" s="446"/>
      <c r="BF311" s="89"/>
      <c r="BG311" s="447"/>
      <c r="BH311" s="447"/>
      <c r="BI311" s="443"/>
    </row>
    <row r="312" spans="1:78" ht="19" x14ac:dyDescent="0.2">
      <c r="B312" s="1700"/>
      <c r="C312" s="825"/>
      <c r="D312" s="829"/>
      <c r="E312" s="826"/>
      <c r="F312" s="830"/>
      <c r="G312" s="830"/>
      <c r="H312" s="830">
        <f>F312*G312</f>
        <v>0</v>
      </c>
      <c r="I312" s="1374">
        <v>11</v>
      </c>
      <c r="J312" s="1375">
        <v>11</v>
      </c>
      <c r="K312" s="31" t="b">
        <f>IF(AND(F312&gt;=I312,F312&lt;=J312),TRUE,FALSE)</f>
        <v>0</v>
      </c>
      <c r="L312" s="26"/>
      <c r="M312" s="26"/>
      <c r="N312" s="26"/>
      <c r="O312" s="1360"/>
      <c r="P312" s="1374">
        <v>11</v>
      </c>
      <c r="Q312" s="1375">
        <v>11</v>
      </c>
      <c r="R312" s="1351" t="b">
        <f>IF(AND(F312&gt;=P312,F312&lt;=Q312),TRUE,FALSE)</f>
        <v>0</v>
      </c>
      <c r="S312" s="1374">
        <v>11</v>
      </c>
      <c r="T312" s="1375">
        <v>11</v>
      </c>
      <c r="U312" s="1351" t="b">
        <f>IF(AND(F312&gt;=S312,F312&lt;=T312),TRUE,FALSE)</f>
        <v>0</v>
      </c>
      <c r="V312" s="32"/>
      <c r="W312" s="821"/>
      <c r="X312" s="822"/>
      <c r="Y312" s="821"/>
      <c r="Z312" s="822"/>
      <c r="AA312" s="821"/>
      <c r="AB312" s="822"/>
      <c r="AD312" s="10"/>
      <c r="AE312" s="10"/>
      <c r="AF312" s="10"/>
      <c r="AG312" s="832">
        <f>IF($K312=TRUE,H312,0)</f>
        <v>0</v>
      </c>
      <c r="AH312" s="832">
        <f>IF($R312=TRUE,H312,0)</f>
        <v>0</v>
      </c>
      <c r="AI312" s="832">
        <f>IF($U312=TRUE,H312,0)</f>
        <v>0</v>
      </c>
      <c r="AJ312" s="1490">
        <f t="shared" ref="AJ312:AJ313" si="609">IF(OR(I312=11,A312="F"),0,G312*I312)</f>
        <v>0</v>
      </c>
      <c r="AK312" s="1490">
        <f t="shared" ref="AK312:AK313" si="610">IF(OR(J312=11,A312="F"),0,G312*J312)</f>
        <v>0</v>
      </c>
      <c r="AL312" s="1490">
        <f t="shared" ref="AL312:AL313" si="611">IF(OR(P312=11,A312="F"),0,G312*P312)</f>
        <v>0</v>
      </c>
      <c r="AM312" s="1490">
        <f t="shared" ref="AM312:AM313" si="612">IF(OR(Q312=11,A312="F"),0,G312*Q312)</f>
        <v>0</v>
      </c>
      <c r="AN312" s="1490">
        <f t="shared" ref="AN312:AN313" si="613">IF(OR(S312=11,A312="F"),0,S312*G312)</f>
        <v>0</v>
      </c>
      <c r="AO312" s="1490">
        <f t="shared" ref="AO312:AO313" si="614">IF(OR(T312=11,A312="F"),0,T312*G312)</f>
        <v>0</v>
      </c>
      <c r="AY312" s="734"/>
      <c r="AZ312" s="734"/>
      <c r="BA312" s="87"/>
      <c r="BB312" s="442"/>
      <c r="BC312" s="89"/>
      <c r="BD312" s="446"/>
      <c r="BE312" s="446"/>
      <c r="BF312" s="89"/>
      <c r="BG312" s="447"/>
      <c r="BH312" s="447"/>
      <c r="BI312" s="443"/>
    </row>
    <row r="313" spans="1:78" ht="20" thickBot="1" x14ac:dyDescent="0.25">
      <c r="B313" s="1700"/>
      <c r="C313" s="825"/>
      <c r="D313" s="829"/>
      <c r="E313" s="826"/>
      <c r="F313" s="830"/>
      <c r="G313" s="830"/>
      <c r="H313" s="830">
        <f>F313*G313</f>
        <v>0</v>
      </c>
      <c r="I313" s="1374">
        <v>11</v>
      </c>
      <c r="J313" s="1375">
        <v>11</v>
      </c>
      <c r="K313" s="31" t="b">
        <f>IF(AND(F313&gt;=I313,F313&lt;=J313),TRUE,FALSE)</f>
        <v>0</v>
      </c>
      <c r="L313" s="26"/>
      <c r="M313" s="26"/>
      <c r="N313" s="26"/>
      <c r="O313" s="1360"/>
      <c r="P313" s="1374">
        <v>11</v>
      </c>
      <c r="Q313" s="1375">
        <v>11</v>
      </c>
      <c r="R313" s="1351" t="b">
        <f>IF(AND(F313&gt;=P313,F313&lt;=Q313),TRUE,FALSE)</f>
        <v>0</v>
      </c>
      <c r="S313" s="1374">
        <v>11</v>
      </c>
      <c r="T313" s="1375">
        <v>11</v>
      </c>
      <c r="U313" s="1351" t="b">
        <f>IF(AND(F313&gt;=S313,F313&lt;=T313),TRUE,FALSE)</f>
        <v>0</v>
      </c>
      <c r="W313" s="821"/>
      <c r="X313" s="822"/>
      <c r="Y313" s="821"/>
      <c r="Z313" s="822"/>
      <c r="AA313" s="821"/>
      <c r="AB313" s="822"/>
      <c r="AD313" s="10"/>
      <c r="AE313" s="10"/>
      <c r="AF313" s="10"/>
      <c r="AG313" s="832">
        <f>IF($K313=TRUE,H313,0)</f>
        <v>0</v>
      </c>
      <c r="AH313" s="832">
        <f>IF($R313=TRUE,H313,0)</f>
        <v>0</v>
      </c>
      <c r="AI313" s="832">
        <f>IF($U313=TRUE,H313,0)</f>
        <v>0</v>
      </c>
      <c r="AJ313" s="1490">
        <f t="shared" si="609"/>
        <v>0</v>
      </c>
      <c r="AK313" s="1490">
        <f t="shared" si="610"/>
        <v>0</v>
      </c>
      <c r="AL313" s="1490">
        <f t="shared" si="611"/>
        <v>0</v>
      </c>
      <c r="AM313" s="1490">
        <f t="shared" si="612"/>
        <v>0</v>
      </c>
      <c r="AN313" s="1490">
        <f t="shared" si="613"/>
        <v>0</v>
      </c>
      <c r="AO313" s="1490">
        <f t="shared" si="614"/>
        <v>0</v>
      </c>
      <c r="AY313" s="734"/>
      <c r="AZ313" s="734"/>
      <c r="BA313" s="87"/>
      <c r="BB313" s="442"/>
      <c r="BC313" s="89"/>
      <c r="BD313" s="446"/>
      <c r="BE313" s="446"/>
      <c r="BF313" s="89"/>
      <c r="BG313" s="447"/>
      <c r="BH313" s="447"/>
      <c r="BI313" s="443"/>
    </row>
    <row r="314" spans="1:78" ht="22" thickBot="1" x14ac:dyDescent="0.25">
      <c r="B314" s="1700"/>
      <c r="D314" s="16"/>
      <c r="E314" s="16"/>
      <c r="F314" s="67"/>
      <c r="G314" s="438"/>
      <c r="H314" s="33">
        <f>IF(AND(K312=TRUE,K313=FALSE),H312,IF(AND(K312=FALSE,K313=TRUE),H313,MAX(H312,H313)))</f>
        <v>0</v>
      </c>
      <c r="I314" s="1371"/>
      <c r="J314" s="1372"/>
      <c r="K314" s="1378" t="b">
        <f>IF(AND(K312=FALSE,K313=FALSE),FALSE,TRUE)</f>
        <v>0</v>
      </c>
      <c r="L314" s="1361"/>
      <c r="M314" s="1362"/>
      <c r="N314" s="1362"/>
      <c r="O314" s="1363"/>
      <c r="P314" s="1371"/>
      <c r="Q314" s="1372"/>
      <c r="R314" s="1378" t="b">
        <f>IF(AND(R312=FALSE,R313=FALSE),FALSE,TRUE)</f>
        <v>0</v>
      </c>
      <c r="S314" s="1383"/>
      <c r="T314" s="1384"/>
      <c r="U314" s="1385" t="b">
        <f>IF(AND(U312=FALSE,U313=FALSE),FALSE,TRUE)</f>
        <v>0</v>
      </c>
      <c r="V314" s="809"/>
      <c r="W314" s="1315" t="str">
        <f>IF(K314=TRUE,"V","F")</f>
        <v>F</v>
      </c>
      <c r="X314" s="1316"/>
      <c r="Y314" s="1315" t="str">
        <f>IF(R314=TRUE,"V","F")</f>
        <v>F</v>
      </c>
      <c r="Z314" s="1316"/>
      <c r="AA314" s="1315" t="str">
        <f>IF(U314=TRUE,"V","F")</f>
        <v>F</v>
      </c>
      <c r="AB314" s="1316"/>
      <c r="AD314" s="10"/>
      <c r="AE314" s="10"/>
      <c r="AF314" s="10"/>
      <c r="AG314" s="1742">
        <f>IF(AND($K312=TRUE,$K313=FALSE),AG312,IF(AND($K312=FALSE,$K313=TRUE),AG313,MAX(AG312,AG313)))</f>
        <v>0</v>
      </c>
      <c r="AH314" s="1742">
        <f>IF(AND($R312=TRUE,$R313=FALSE),AH312,IF(AND($R312=FALSE,$R313=TRUE),AH313,MAX(AH312,AH313)))</f>
        <v>0</v>
      </c>
      <c r="AI314" s="1742">
        <f>IF(AND($U312=TRUE,$U313=FALSE),AI312,IF(AND($U312=FALSE,$U313=TRUE),AI313,MAX(AI312,AI313)))</f>
        <v>0</v>
      </c>
      <c r="AJ314" s="1742">
        <f>IF(AND($K312=TRUE,$K313=FALSE),AJ312,IF(AND($K312=FALSE,$K313=TRUE),AJ313,MAX(AJ312,AJ313)))</f>
        <v>0</v>
      </c>
      <c r="AK314" s="1742">
        <f>IF(AND($K312=TRUE,$K313=FALSE),AK312,IF(AND($K312=FALSE,$K313=TRUE),AK313,MAX(AK312,AK313)))</f>
        <v>0</v>
      </c>
      <c r="AL314" s="1742">
        <f>IF(AND($R312=TRUE,$R313=FALSE),AL312,IF(AND($R312=FALSE,$R313=TRUE),AL313,MAX(AL312,AL313)))</f>
        <v>0</v>
      </c>
      <c r="AM314" s="1742">
        <f>IF(AND($R312=TRUE,$R313=FALSE),AM312,IF(AND($R312=FALSE,$R313=TRUE),AM313,MAX(AM312,AM313)))</f>
        <v>0</v>
      </c>
      <c r="AN314" s="1742">
        <f>IF(AND($U312=TRUE,$U313=FALSE),AN312,IF(AND($U312=FALSE,$U313=TRUE),AN313,MAX(AN312,AN313)))</f>
        <v>0</v>
      </c>
      <c r="AO314" s="1742">
        <f>IF(AND($U312=TRUE,$U313=FALSE),AO312,IF(AND($U312=FALSE,$U313=TRUE),AO313,MAX(AO312,AO313)))</f>
        <v>0</v>
      </c>
      <c r="AY314" s="734"/>
      <c r="AZ314" s="734"/>
      <c r="BA314" s="87"/>
      <c r="BB314" s="442"/>
      <c r="BC314" s="89"/>
      <c r="BD314" s="446"/>
      <c r="BE314" s="446"/>
      <c r="BF314" s="89"/>
      <c r="BG314" s="447"/>
      <c r="BH314" s="447"/>
      <c r="BI314" s="443"/>
    </row>
    <row r="315" spans="1:78" ht="27" thickBot="1" x14ac:dyDescent="0.35">
      <c r="D315" s="16"/>
      <c r="E315" s="16"/>
      <c r="F315" s="67"/>
      <c r="G315" s="438"/>
      <c r="H315" s="438"/>
      <c r="I315" s="8"/>
      <c r="J315" s="8"/>
      <c r="K315" s="808"/>
      <c r="L315" s="809"/>
      <c r="M315" s="809"/>
      <c r="N315" s="809"/>
      <c r="O315" s="809"/>
      <c r="P315" s="809"/>
      <c r="Q315" s="809"/>
      <c r="R315" s="809"/>
      <c r="S315" s="809"/>
      <c r="T315" s="809"/>
      <c r="U315" s="809"/>
      <c r="V315" s="809"/>
      <c r="W315" s="1376"/>
      <c r="X315" s="1377">
        <f>IF(AND(W314="V",W306="V"),X310-1,X310)</f>
        <v>2</v>
      </c>
      <c r="Y315" s="1376"/>
      <c r="Z315" s="1377">
        <f>IF(OR(Y306="V",Y309="V",Y314="V"),1,0)</f>
        <v>1</v>
      </c>
      <c r="AA315" s="1376"/>
      <c r="AB315" s="1377">
        <f>IF(AA306="V",1,IF(AA314="V",1,0))</f>
        <v>1</v>
      </c>
      <c r="AD315" s="10">
        <f>X315</f>
        <v>2</v>
      </c>
      <c r="AE315" s="10">
        <f>Z315</f>
        <v>1</v>
      </c>
      <c r="AF315" s="10">
        <f>AB315</f>
        <v>1</v>
      </c>
      <c r="AG315" s="1741">
        <f>IF($W314="F",AG310,AG310+AG314)</f>
        <v>50</v>
      </c>
      <c r="AH315" s="1741">
        <f>IF($Y314="F",AH310,AH310+AH314)</f>
        <v>42</v>
      </c>
      <c r="AI315" s="1741">
        <f>IF(AND($AA306="V",$AA314="F"),AI306,IF(AND($AA306="F",$AA314="V"),AI314,IF(AND($AA306="V",$AA314="V"),AI306+AI314,0)))</f>
        <v>29</v>
      </c>
      <c r="AJ315" s="1741">
        <f>IF($W314="F",AJ310,AJ310+AJ314)</f>
        <v>28</v>
      </c>
      <c r="AK315" s="1741">
        <f t="shared" ref="AK315" si="615">IF($W314="F",AK310,AK310+AK314)</f>
        <v>80</v>
      </c>
      <c r="AL315" s="1741">
        <f t="shared" ref="AL315" si="616">IF($Y314="F",AL310,AL310+AL314)</f>
        <v>18</v>
      </c>
      <c r="AM315" s="1741">
        <f t="shared" ref="AM315" si="617">IF($Y314="F",AM310,AM310+AM314)</f>
        <v>42</v>
      </c>
      <c r="AN315" s="1741">
        <f t="shared" ref="AN315" si="618">IF(AND($AA306="V",$AA314="F"),AN306,IF(AND($AA306="F",$AA314="V"),AN314,IF(AND($AA306="V",$AA314="V"),AN306+AN314,0)))</f>
        <v>20</v>
      </c>
      <c r="AO315" s="1741">
        <f t="shared" ref="AO315" si="619">IF(AND($AA306="V",$AA314="F"),AO306,IF(AND($AA306="F",$AA314="V"),AO314,IF(AND($AA306="V",$AA314="V"),AO306+AO314,0)))</f>
        <v>41</v>
      </c>
      <c r="AY315" s="734"/>
      <c r="AZ315" s="734"/>
      <c r="BA315" s="87"/>
      <c r="BB315" s="442"/>
      <c r="BC315" s="89"/>
      <c r="BD315" s="446"/>
      <c r="BE315" s="446"/>
      <c r="BF315" s="89"/>
      <c r="BG315" s="447"/>
      <c r="BH315" s="447"/>
      <c r="BI315" s="443"/>
    </row>
    <row r="316" spans="1:78" x14ac:dyDescent="0.3">
      <c r="D316" s="16"/>
      <c r="E316" s="16"/>
      <c r="F316" s="67"/>
      <c r="G316" s="438"/>
      <c r="H316" s="438"/>
      <c r="I316" s="1344"/>
      <c r="J316" s="1345"/>
      <c r="K316" s="1346"/>
      <c r="L316" s="2603"/>
      <c r="M316" s="2603"/>
      <c r="N316" s="2603"/>
      <c r="O316" s="1347"/>
      <c r="P316" s="1364"/>
      <c r="Q316" s="1346"/>
      <c r="R316" s="1347"/>
      <c r="S316" s="1364"/>
      <c r="T316" s="1346"/>
      <c r="U316" s="1347"/>
      <c r="V316" s="145"/>
      <c r="W316" s="1387"/>
      <c r="X316" s="1388"/>
      <c r="Y316" s="1231"/>
      <c r="Z316" s="1231"/>
      <c r="AA316" s="1231"/>
      <c r="AB316" s="1231"/>
      <c r="AD316" s="10"/>
      <c r="AE316" s="10"/>
      <c r="AF316" s="10"/>
      <c r="AY316" s="734"/>
      <c r="AZ316" s="734"/>
      <c r="BA316" s="87"/>
      <c r="BB316" s="442"/>
      <c r="BC316" s="89"/>
      <c r="BD316" s="446"/>
      <c r="BE316" s="446"/>
      <c r="BF316" s="89"/>
      <c r="BG316" s="447"/>
      <c r="BH316" s="447"/>
      <c r="BI316" s="443"/>
    </row>
    <row r="317" spans="1:78" x14ac:dyDescent="0.3">
      <c r="B317" s="1699">
        <v>15</v>
      </c>
      <c r="D317" s="441" t="str">
        <f>'Cpts AR +indép + Sommaire'!B49</f>
        <v>Impose sa présence (appel, texto)</v>
      </c>
      <c r="E317" s="84"/>
      <c r="F317" s="50"/>
      <c r="G317" s="18"/>
      <c r="H317" s="18"/>
      <c r="I317" s="2595" t="s">
        <v>604</v>
      </c>
      <c r="J317" s="2596"/>
      <c r="K317" s="2596"/>
      <c r="L317" s="2597" t="s">
        <v>1086</v>
      </c>
      <c r="M317" s="2597"/>
      <c r="N317" s="2597"/>
      <c r="O317" s="2598"/>
      <c r="P317" s="2599" t="s">
        <v>603</v>
      </c>
      <c r="Q317" s="2600"/>
      <c r="R317" s="2601"/>
      <c r="S317" s="2590" t="s">
        <v>605</v>
      </c>
      <c r="T317" s="2591"/>
      <c r="U317" s="2592"/>
      <c r="V317" s="15"/>
      <c r="W317" s="817"/>
      <c r="X317" s="817"/>
      <c r="Y317" s="817"/>
      <c r="Z317" s="817"/>
      <c r="AA317" s="817"/>
      <c r="AB317" s="818"/>
      <c r="AD317" s="10"/>
      <c r="AE317" s="10"/>
      <c r="AF317" s="10"/>
      <c r="AG317" s="1386" t="s">
        <v>604</v>
      </c>
      <c r="AH317" s="1386" t="s">
        <v>603</v>
      </c>
      <c r="AI317" s="1386" t="s">
        <v>605</v>
      </c>
      <c r="AJ317" s="2589" t="s">
        <v>604</v>
      </c>
      <c r="AK317" s="2589"/>
      <c r="AL317" s="2589" t="s">
        <v>603</v>
      </c>
      <c r="AM317" s="2589"/>
      <c r="AN317" s="2589" t="s">
        <v>605</v>
      </c>
      <c r="AO317" s="2589"/>
      <c r="AY317" s="734"/>
      <c r="AZ317" s="734"/>
      <c r="BA317" s="87"/>
      <c r="BB317" s="442"/>
      <c r="BC317" s="89"/>
      <c r="BD317" s="446"/>
      <c r="BE317" s="446"/>
      <c r="BF317" s="89"/>
      <c r="BG317" s="447"/>
      <c r="BH317" s="447"/>
      <c r="BI317" s="443"/>
    </row>
    <row r="318" spans="1:78" ht="36" x14ac:dyDescent="0.3">
      <c r="D318" s="79" t="s">
        <v>779</v>
      </c>
      <c r="E318" s="835" t="s">
        <v>778</v>
      </c>
      <c r="F318" s="26" t="s">
        <v>226</v>
      </c>
      <c r="G318" s="26" t="s">
        <v>22</v>
      </c>
      <c r="H318" s="26" t="s">
        <v>612</v>
      </c>
      <c r="I318" s="1348" t="s">
        <v>269</v>
      </c>
      <c r="J318" s="29" t="s">
        <v>270</v>
      </c>
      <c r="K318" s="29" t="s">
        <v>271</v>
      </c>
      <c r="L318" s="29" t="s">
        <v>363</v>
      </c>
      <c r="M318" s="29" t="s">
        <v>339</v>
      </c>
      <c r="N318" s="29" t="s">
        <v>340</v>
      </c>
      <c r="O318" s="1349" t="s">
        <v>341</v>
      </c>
      <c r="P318" s="1348" t="s">
        <v>269</v>
      </c>
      <c r="Q318" s="29" t="s">
        <v>270</v>
      </c>
      <c r="R318" s="1349" t="s">
        <v>271</v>
      </c>
      <c r="S318" s="1348" t="s">
        <v>269</v>
      </c>
      <c r="T318" s="29" t="s">
        <v>270</v>
      </c>
      <c r="U318" s="1349" t="s">
        <v>271</v>
      </c>
      <c r="V318" s="736"/>
      <c r="W318" s="827" t="s">
        <v>604</v>
      </c>
      <c r="X318" s="828" t="s">
        <v>754</v>
      </c>
      <c r="Y318" s="827" t="s">
        <v>603</v>
      </c>
      <c r="Z318" s="828" t="s">
        <v>755</v>
      </c>
      <c r="AA318" s="827" t="s">
        <v>605</v>
      </c>
      <c r="AB318" s="828" t="s">
        <v>756</v>
      </c>
      <c r="AD318" s="10"/>
      <c r="AE318" s="10"/>
      <c r="AF318" s="10"/>
      <c r="AG318" s="10"/>
      <c r="AH318" s="10"/>
      <c r="AI318" s="10"/>
      <c r="AJ318" s="1490" t="s">
        <v>1058</v>
      </c>
      <c r="AK318" s="1490" t="s">
        <v>1059</v>
      </c>
      <c r="AL318" s="1490" t="s">
        <v>1058</v>
      </c>
      <c r="AM318" s="1490" t="s">
        <v>1059</v>
      </c>
      <c r="AN318" s="1490" t="s">
        <v>1058</v>
      </c>
      <c r="AO318" s="1490" t="s">
        <v>1059</v>
      </c>
      <c r="AY318" s="734"/>
      <c r="AZ318" s="734"/>
      <c r="BA318" s="87"/>
      <c r="BB318" s="442"/>
      <c r="BC318" s="89"/>
      <c r="BD318" s="446"/>
      <c r="BE318" s="446"/>
      <c r="BF318" s="89"/>
      <c r="BG318" s="447"/>
      <c r="BH318" s="447"/>
      <c r="BI318" s="443"/>
    </row>
    <row r="319" spans="1:78" ht="51" x14ac:dyDescent="0.2">
      <c r="A319" t="str">
        <f>IF(Test_Bible!B198="","F","O")</f>
        <v>O</v>
      </c>
      <c r="B319" s="1700" t="str">
        <f>'Cpts AR +indép + Sommaire'!G49</f>
        <v>Interférence temps et/ou communication</v>
      </c>
      <c r="C319" s="379" t="str">
        <f>'Cpts AR +indép + Sommaire'!C49</f>
        <v>PFA18</v>
      </c>
      <c r="D319" s="25" t="str">
        <f>'Cpts AR +indép + Sommaire'!D49</f>
        <v>À quelle fréquence l’autre parent communique-t-il ou elle avec votre enfant durant votre temps de garde ? (tél., textos, réseaux sociaux, etc.)</v>
      </c>
      <c r="E319" s="78" t="s">
        <v>640</v>
      </c>
      <c r="F319" s="709">
        <f>'Cpts AR +indép + Sommaire'!E49</f>
        <v>7</v>
      </c>
      <c r="G319" s="709">
        <f>'Cpts AR +indép + Sommaire'!F49</f>
        <v>1</v>
      </c>
      <c r="H319" s="709">
        <f>F319*G319</f>
        <v>7</v>
      </c>
      <c r="I319" s="1350">
        <v>7</v>
      </c>
      <c r="J319" s="1343">
        <v>10</v>
      </c>
      <c r="K319" s="31" t="b">
        <f>IF(AND(F319&gt;=I319,F319&lt;=J319),TRUE,FALSE)</f>
        <v>1</v>
      </c>
      <c r="L319" s="31"/>
      <c r="M319" s="31"/>
      <c r="N319" s="31"/>
      <c r="O319" s="1351"/>
      <c r="P319" s="1374">
        <v>11</v>
      </c>
      <c r="Q319" s="1375">
        <v>11</v>
      </c>
      <c r="R319" s="1351" t="b">
        <f>IF(AND(F319&gt;=P319,F319&lt;=Q319),TRUE,FALSE)</f>
        <v>0</v>
      </c>
      <c r="S319" s="1374">
        <v>11</v>
      </c>
      <c r="T319" s="1375">
        <v>11</v>
      </c>
      <c r="U319" s="1351" t="b">
        <f>IF(AND(F319&gt;=S319,F319&lt;=T319),TRUE,FALSE)</f>
        <v>0</v>
      </c>
      <c r="V319" s="807"/>
      <c r="W319" s="819"/>
      <c r="X319" s="820"/>
      <c r="Y319" s="819"/>
      <c r="Z319" s="820"/>
      <c r="AA319" s="819"/>
      <c r="AB319" s="820"/>
      <c r="AD319" s="10"/>
      <c r="AE319" s="10"/>
      <c r="AF319" s="10"/>
      <c r="AG319" s="832">
        <f>IF($K319=TRUE,H319,0)</f>
        <v>7</v>
      </c>
      <c r="AH319" s="832">
        <f>IF($R319=TRUE,H319,0)</f>
        <v>0</v>
      </c>
      <c r="AI319" s="832">
        <f>IF($U319=TRUE,H319,0)</f>
        <v>0</v>
      </c>
      <c r="AJ319" s="1490">
        <f t="shared" ref="AJ319:AJ320" si="620">IF(OR(I319=11,A319="F"),0,G319*I319)</f>
        <v>7</v>
      </c>
      <c r="AK319" s="1490">
        <f t="shared" ref="AK319:AK320" si="621">IF(OR(J319=11,A319="F"),0,G319*J319)</f>
        <v>10</v>
      </c>
      <c r="AL319" s="1490">
        <f t="shared" ref="AL319:AL320" si="622">IF(OR(P319=11,A319="F"),0,G319*P319)</f>
        <v>0</v>
      </c>
      <c r="AM319" s="1490">
        <f t="shared" ref="AM319:AM320" si="623">IF(OR(Q319=11,A319="F"),0,G319*Q319)</f>
        <v>0</v>
      </c>
      <c r="AN319" s="1490">
        <f t="shared" ref="AN319:AN320" si="624">IF(OR(S319=11,A319="F"),0,S319*G319)</f>
        <v>0</v>
      </c>
      <c r="AO319" s="1490">
        <f t="shared" ref="AO319:AO320" si="625">IF(OR(T319=11,A319="F"),0,T319*G319)</f>
        <v>0</v>
      </c>
      <c r="AY319" s="734"/>
      <c r="AZ319" s="734"/>
      <c r="BA319" s="87"/>
      <c r="BB319" s="442"/>
      <c r="BC319" s="89"/>
      <c r="BD319" s="446"/>
      <c r="BE319" s="446"/>
      <c r="BF319" s="89"/>
      <c r="BG319" s="447"/>
      <c r="BH319" s="447"/>
      <c r="BI319" s="443"/>
    </row>
    <row r="320" spans="1:78" ht="19" x14ac:dyDescent="0.2">
      <c r="B320" s="1531"/>
      <c r="C320" s="379" t="s">
        <v>260</v>
      </c>
      <c r="D320" s="25"/>
      <c r="E320" s="78"/>
      <c r="F320" s="709"/>
      <c r="G320" s="708"/>
      <c r="H320" s="709">
        <f>F320*G320</f>
        <v>0</v>
      </c>
      <c r="I320" s="1374">
        <v>11</v>
      </c>
      <c r="J320" s="1375">
        <v>11</v>
      </c>
      <c r="K320" s="31" t="b">
        <f>IF(AND(F320&gt;=I320,F320&lt;=J320),TRUE,FALSE)</f>
        <v>0</v>
      </c>
      <c r="L320" s="31"/>
      <c r="M320" s="31"/>
      <c r="N320" s="31"/>
      <c r="O320" s="1351"/>
      <c r="P320" s="1374">
        <v>11</v>
      </c>
      <c r="Q320" s="1375">
        <v>11</v>
      </c>
      <c r="R320" s="1351" t="b">
        <f>IF(AND(F320&gt;=P320,F320&lt;=Q320),TRUE,FALSE)</f>
        <v>0</v>
      </c>
      <c r="S320" s="1374">
        <v>11</v>
      </c>
      <c r="T320" s="1375">
        <v>11</v>
      </c>
      <c r="U320" s="1351" t="b">
        <f>IF(AND(F320&gt;=S320,F320&lt;=T320),TRUE,FALSE)</f>
        <v>0</v>
      </c>
      <c r="V320" s="807"/>
      <c r="W320" s="821"/>
      <c r="X320" s="822"/>
      <c r="Y320" s="821"/>
      <c r="Z320" s="822"/>
      <c r="AA320" s="821"/>
      <c r="AB320" s="822"/>
      <c r="AD320" s="10"/>
      <c r="AE320" s="10"/>
      <c r="AF320" s="10"/>
      <c r="AG320" s="832">
        <f>IF($K320=TRUE,H320,0)</f>
        <v>0</v>
      </c>
      <c r="AH320" s="832">
        <f>IF($R320=TRUE,H320,0)</f>
        <v>0</v>
      </c>
      <c r="AI320" s="832">
        <f>IF($U320=TRUE,H320,0)</f>
        <v>0</v>
      </c>
      <c r="AJ320" s="1490">
        <f t="shared" si="620"/>
        <v>0</v>
      </c>
      <c r="AK320" s="1490">
        <f t="shared" si="621"/>
        <v>0</v>
      </c>
      <c r="AL320" s="1490">
        <f t="shared" si="622"/>
        <v>0</v>
      </c>
      <c r="AM320" s="1490">
        <f t="shared" si="623"/>
        <v>0</v>
      </c>
      <c r="AN320" s="1490">
        <f t="shared" si="624"/>
        <v>0</v>
      </c>
      <c r="AO320" s="1490">
        <f t="shared" si="625"/>
        <v>0</v>
      </c>
      <c r="AY320" s="734"/>
      <c r="AZ320" s="734"/>
      <c r="BA320" s="87"/>
      <c r="BB320" s="442"/>
      <c r="BC320" s="89"/>
      <c r="BD320" s="446"/>
      <c r="BE320" s="446"/>
      <c r="BF320" s="89"/>
      <c r="BG320" s="447"/>
      <c r="BH320" s="447"/>
      <c r="BI320" s="443"/>
    </row>
    <row r="321" spans="1:78" ht="51" x14ac:dyDescent="0.2">
      <c r="B321" s="1702"/>
      <c r="C321" s="710" t="s">
        <v>609</v>
      </c>
      <c r="D321" s="711" t="str">
        <f>_xlfn.XLOOKUP(H321,H319:H320,D319:D320)</f>
        <v>À quelle fréquence l’autre parent communique-t-il ou elle avec votre enfant durant votre temps de garde ? (tél., textos, réseaux sociaux, etc.)</v>
      </c>
      <c r="E321" s="712" t="str">
        <f>_xlfn.XLOOKUP(H321,H319:H320,E319:E320)</f>
        <v>impose sa présence régulièrement durant votre temps de garde</v>
      </c>
      <c r="F321" s="713"/>
      <c r="G321" s="713"/>
      <c r="H321" s="713">
        <f>IF(AND(K319=TRUE,K320=FALSE),H319,IF(AND(K319=FALSE,K320=TRUE),H320,MAX(H319,H320)))</f>
        <v>7</v>
      </c>
      <c r="I321" s="1352"/>
      <c r="J321" s="714"/>
      <c r="K321" s="715" t="b">
        <f>IF(AND(K319=FALSE,K320=FALSE),FALSE,TRUE)</f>
        <v>1</v>
      </c>
      <c r="L321" s="31"/>
      <c r="M321" s="31"/>
      <c r="N321" s="31"/>
      <c r="O321" s="1351"/>
      <c r="P321" s="1352"/>
      <c r="Q321" s="714"/>
      <c r="R321" s="1365" t="b">
        <f>IF(AND(R319=FALSE,R320=FALSE),FALSE,TRUE)</f>
        <v>0</v>
      </c>
      <c r="S321" s="1352"/>
      <c r="T321" s="714"/>
      <c r="U321" s="1365" t="b">
        <f>IF(AND(U319=FALSE,U320=FALSE),FALSE,TRUE)</f>
        <v>0</v>
      </c>
      <c r="V321" s="807"/>
      <c r="W321" s="821"/>
      <c r="X321" s="822"/>
      <c r="Y321" s="821"/>
      <c r="Z321" s="822"/>
      <c r="AA321" s="821"/>
      <c r="AB321" s="822"/>
      <c r="AD321" s="10"/>
      <c r="AE321" s="10"/>
      <c r="AF321" s="10"/>
      <c r="AG321" s="1740">
        <f>IF($K321=TRUE,MAX(AG319:AG320),0)</f>
        <v>7</v>
      </c>
      <c r="AH321" s="1740">
        <f>IF($R321=TRUE,MAX(AH319:AH320),0)</f>
        <v>0</v>
      </c>
      <c r="AI321" s="1740">
        <f>IF($U321=TRUE,MAX(AI319:AI320),0)</f>
        <v>0</v>
      </c>
      <c r="AJ321" s="1739">
        <f>MAX(AJ319:AJ320)</f>
        <v>7</v>
      </c>
      <c r="AK321" s="1739">
        <f t="shared" ref="AK321" si="626">MAX(AK319:AK320)</f>
        <v>10</v>
      </c>
      <c r="AL321" s="1739">
        <f t="shared" ref="AL321" si="627">MAX(AL319:AL320)</f>
        <v>0</v>
      </c>
      <c r="AM321" s="1739">
        <f t="shared" ref="AM321" si="628">MAX(AM319:AM320)</f>
        <v>0</v>
      </c>
      <c r="AN321" s="1739">
        <f t="shared" ref="AN321" si="629">MAX(AN319:AN320)</f>
        <v>0</v>
      </c>
      <c r="AO321" s="1739">
        <f t="shared" ref="AO321" si="630">MAX(AO319:AO320)</f>
        <v>0</v>
      </c>
      <c r="AY321" s="734"/>
      <c r="AZ321" s="734"/>
      <c r="BA321" s="87"/>
      <c r="BB321" s="442"/>
      <c r="BC321" s="89"/>
      <c r="BD321" s="446"/>
      <c r="BE321" s="446"/>
      <c r="BF321" s="89"/>
      <c r="BG321" s="447"/>
      <c r="BH321" s="447"/>
      <c r="BI321" s="443"/>
    </row>
    <row r="322" spans="1:78" ht="51" x14ac:dyDescent="0.2">
      <c r="A322" t="str">
        <f>IF(Test_Bible!B422="","F","O")</f>
        <v>O</v>
      </c>
      <c r="B322" s="1531" t="str">
        <f>'Cpts AR +indép + Sommaire'!M49</f>
        <v>Interférence temps et/ou communication</v>
      </c>
      <c r="C322" s="38" t="str">
        <f>'Cpts AR +indép + Sommaire'!I49</f>
        <v>NC12</v>
      </c>
      <c r="D322" s="25" t="str">
        <f>'Cpts AR +indép + Sommaire'!J49</f>
        <v>À quelle fréquence le nouveau ou nouvelle conjoint·e communique-t-il ou elle avec votre enfant durant votre temps de garde ?</v>
      </c>
      <c r="E322" s="78" t="s">
        <v>652</v>
      </c>
      <c r="F322" s="709">
        <f>'Cpts AR +indép + Sommaire'!K49</f>
        <v>7</v>
      </c>
      <c r="G322" s="709">
        <f>'Cpts AR +indép + Sommaire'!L49</f>
        <v>3</v>
      </c>
      <c r="H322" s="709">
        <f>F322*G322</f>
        <v>21</v>
      </c>
      <c r="I322" s="1350">
        <v>4</v>
      </c>
      <c r="J322" s="1343">
        <v>10</v>
      </c>
      <c r="K322" s="31" t="b">
        <f>IF(AND(F322&gt;=I322,F322&lt;=J322),TRUE,FALSE)</f>
        <v>1</v>
      </c>
      <c r="L322" s="31"/>
      <c r="M322" s="31"/>
      <c r="N322" s="31"/>
      <c r="O322" s="1351"/>
      <c r="P322" s="1350">
        <v>7</v>
      </c>
      <c r="Q322" s="1343">
        <v>10</v>
      </c>
      <c r="R322" s="1351" t="b">
        <f>IF(AND(F322&gt;=P322,F322&lt;=Q322),TRUE,FALSE)</f>
        <v>1</v>
      </c>
      <c r="S322" s="1374">
        <v>11</v>
      </c>
      <c r="T322" s="1375">
        <v>11</v>
      </c>
      <c r="U322" s="1351" t="b">
        <f>IF(AND(F322&gt;=S322,F322&lt;=T322),TRUE,FALSE)</f>
        <v>0</v>
      </c>
      <c r="V322" s="807"/>
      <c r="W322" s="821"/>
      <c r="X322" s="822"/>
      <c r="Y322" s="821"/>
      <c r="Z322" s="822"/>
      <c r="AA322" s="821"/>
      <c r="AB322" s="822"/>
      <c r="AD322" s="10"/>
      <c r="AE322" s="10"/>
      <c r="AF322" s="10"/>
      <c r="AG322" s="832">
        <f>IF(K322=TRUE,H322,0)</f>
        <v>21</v>
      </c>
      <c r="AH322" s="832">
        <f>IF(R322=TRUE,H322,0)</f>
        <v>21</v>
      </c>
      <c r="AI322" s="832">
        <f>IF(U322=TRUE,H322,0)</f>
        <v>0</v>
      </c>
      <c r="AJ322" s="1490">
        <f t="shared" ref="AJ322:AJ323" si="631">IF(OR(I322=11,A322="F"),0,G322*I322)</f>
        <v>12</v>
      </c>
      <c r="AK322" s="1490">
        <f t="shared" ref="AK322:AK323" si="632">IF(OR(J322=11,A322="F"),0,G322*J322)</f>
        <v>30</v>
      </c>
      <c r="AL322" s="1490">
        <f t="shared" ref="AL322:AL323" si="633">IF(OR(P322=11,A322="F"),0,G322*P322)</f>
        <v>21</v>
      </c>
      <c r="AM322" s="1490">
        <f t="shared" ref="AM322:AM323" si="634">IF(OR(Q322=11,A322="F"),0,G322*Q322)</f>
        <v>30</v>
      </c>
      <c r="AN322" s="1490">
        <f t="shared" ref="AN322:AN323" si="635">IF(OR(S322=11,A322="F"),0,S322*G322)</f>
        <v>0</v>
      </c>
      <c r="AO322" s="1490">
        <f t="shared" ref="AO322:AO323" si="636">IF(OR(T322=11,A322="F"),0,T322*G322)</f>
        <v>0</v>
      </c>
      <c r="AY322" s="734"/>
      <c r="AZ322" s="734"/>
      <c r="BA322" s="87"/>
      <c r="BB322" s="442"/>
      <c r="BC322" s="89"/>
      <c r="BD322" s="446"/>
      <c r="BE322" s="446"/>
      <c r="BF322" s="89"/>
      <c r="BG322" s="447"/>
      <c r="BH322" s="447"/>
      <c r="BI322" s="443"/>
    </row>
    <row r="323" spans="1:78" ht="19" x14ac:dyDescent="0.2">
      <c r="B323" s="1700"/>
      <c r="C323" s="38" t="s">
        <v>242</v>
      </c>
      <c r="D323" s="25"/>
      <c r="E323" s="48"/>
      <c r="F323" s="27"/>
      <c r="G323" s="27"/>
      <c r="H323" s="27">
        <f>F323*G323</f>
        <v>0</v>
      </c>
      <c r="I323" s="1374">
        <v>11</v>
      </c>
      <c r="J323" s="1375">
        <v>11</v>
      </c>
      <c r="K323" s="31" t="b">
        <f>IF(AND(F323&gt;=I323,F323&lt;=J323),TRUE,FALSE)</f>
        <v>0</v>
      </c>
      <c r="L323" s="31"/>
      <c r="M323" s="31"/>
      <c r="N323" s="31"/>
      <c r="O323" s="1351"/>
      <c r="P323" s="1374">
        <v>11</v>
      </c>
      <c r="Q323" s="1375">
        <v>11</v>
      </c>
      <c r="R323" s="1351" t="b">
        <f>IF(AND(F323&gt;=P323,F323&lt;=Q323),TRUE,FALSE)</f>
        <v>0</v>
      </c>
      <c r="S323" s="1374">
        <v>11</v>
      </c>
      <c r="T323" s="1375">
        <v>11</v>
      </c>
      <c r="U323" s="1351" t="b">
        <f>IF(AND(F323&gt;=S323,F323&lt;=T323),TRUE,FALSE)</f>
        <v>0</v>
      </c>
      <c r="V323" s="807"/>
      <c r="W323" s="821"/>
      <c r="X323" s="822"/>
      <c r="Y323" s="821"/>
      <c r="Z323" s="822"/>
      <c r="AA323" s="821"/>
      <c r="AB323" s="822"/>
      <c r="AD323" s="10"/>
      <c r="AE323" s="10"/>
      <c r="AF323" s="10"/>
      <c r="AG323" s="832">
        <f>IF(K323=TRUE,H323,0)</f>
        <v>0</v>
      </c>
      <c r="AH323" s="832">
        <f>IF(R323=TRUE,H323,0)</f>
        <v>0</v>
      </c>
      <c r="AI323" s="832">
        <f>IF(U323=TRUE,H323,0)</f>
        <v>0</v>
      </c>
      <c r="AJ323" s="1490">
        <f t="shared" si="631"/>
        <v>0</v>
      </c>
      <c r="AK323" s="1490">
        <f t="shared" si="632"/>
        <v>0</v>
      </c>
      <c r="AL323" s="1490">
        <f t="shared" si="633"/>
        <v>0</v>
      </c>
      <c r="AM323" s="1490">
        <f t="shared" si="634"/>
        <v>0</v>
      </c>
      <c r="AN323" s="1490">
        <f t="shared" si="635"/>
        <v>0</v>
      </c>
      <c r="AO323" s="1490">
        <f t="shared" si="636"/>
        <v>0</v>
      </c>
      <c r="AV323" s="7"/>
      <c r="AX323" s="7"/>
      <c r="AY323" s="734"/>
      <c r="AZ323" s="734"/>
      <c r="BA323" s="87"/>
      <c r="BB323" s="442"/>
      <c r="BC323" s="89"/>
      <c r="BD323" s="446"/>
      <c r="BE323" s="446"/>
      <c r="BF323" s="89"/>
      <c r="BG323" s="447"/>
      <c r="BH323" s="447"/>
      <c r="BI323" s="443"/>
      <c r="BN323" s="25"/>
      <c r="BP323" s="7"/>
      <c r="BQ323" s="7"/>
      <c r="BR323" s="7"/>
      <c r="BS323" s="7"/>
      <c r="BT323" s="7"/>
      <c r="BU323" s="7"/>
      <c r="BV323" s="7"/>
      <c r="BW323" s="7"/>
      <c r="BX323" s="7"/>
      <c r="BY323" s="7"/>
      <c r="BZ323" s="7"/>
    </row>
    <row r="324" spans="1:78" ht="52" thickBot="1" x14ac:dyDescent="0.25">
      <c r="B324" s="1700"/>
      <c r="C324" s="716" t="s">
        <v>610</v>
      </c>
      <c r="D324" s="717" t="str">
        <f>_xlfn.XLOOKUP(H324,H322:H323,D322:D323)</f>
        <v>À quelle fréquence le nouveau ou nouvelle conjoint·e communique-t-il ou elle avec votre enfant durant votre temps de garde ?</v>
      </c>
      <c r="E324" s="718" t="str">
        <f>_xlfn.XLOOKUP(H324,H322:H323,E322:E323)</f>
        <v>Le nouveau conjoint.e impose sa présence régulièrement durant votre temps de garde</v>
      </c>
      <c r="F324" s="719"/>
      <c r="G324" s="719"/>
      <c r="H324" s="713">
        <f>IF(AND(K322=TRUE,K323=FALSE),H322,IF(AND(K322=FALSE,K323=TRUE),H323,MAX(H322,H323)))</f>
        <v>21</v>
      </c>
      <c r="I324" s="1353"/>
      <c r="J324" s="720"/>
      <c r="K324" s="721" t="b">
        <f>IF(AND(K322=FALSE,K323=FALSE),FALSE,TRUE)</f>
        <v>1</v>
      </c>
      <c r="L324" s="31"/>
      <c r="M324" s="31"/>
      <c r="N324" s="31"/>
      <c r="O324" s="1351"/>
      <c r="P324" s="1353"/>
      <c r="Q324" s="720"/>
      <c r="R324" s="1366" t="b">
        <f>IF(AND(R322=FALSE,R323=FALSE),FALSE,TRUE)</f>
        <v>1</v>
      </c>
      <c r="S324" s="1353"/>
      <c r="T324" s="720"/>
      <c r="U324" s="1366" t="b">
        <f>IF(AND(U322=FALSE,U323=FALSE),FALSE,TRUE)</f>
        <v>0</v>
      </c>
      <c r="V324" s="807"/>
      <c r="W324" s="821"/>
      <c r="X324" s="822"/>
      <c r="Y324" s="821"/>
      <c r="Z324" s="822"/>
      <c r="AA324" s="821"/>
      <c r="AB324" s="822"/>
      <c r="AD324" s="10"/>
      <c r="AE324" s="10"/>
      <c r="AF324" s="10"/>
      <c r="AG324" s="1740">
        <f>IF($K324=TRUE,MAX(AG322:AG323),0)</f>
        <v>21</v>
      </c>
      <c r="AH324" s="1740">
        <f>IF($R324=TRUE,MAX(AH322:AH323),0)</f>
        <v>21</v>
      </c>
      <c r="AI324" s="1740">
        <f>IF($U324=TRUE,MAX(AI322:AI323),0)</f>
        <v>0</v>
      </c>
      <c r="AJ324" s="1739">
        <f>MAX(AJ322:AJ323)</f>
        <v>12</v>
      </c>
      <c r="AK324" s="1739">
        <f t="shared" ref="AK324" si="637">MAX(AK322:AK323)</f>
        <v>30</v>
      </c>
      <c r="AL324" s="1739">
        <f t="shared" ref="AL324" si="638">MAX(AL322:AL323)</f>
        <v>21</v>
      </c>
      <c r="AM324" s="1739">
        <f t="shared" ref="AM324" si="639">MAX(AM322:AM323)</f>
        <v>30</v>
      </c>
      <c r="AN324" s="1739">
        <f t="shared" ref="AN324" si="640">MAX(AN322:AN323)</f>
        <v>0</v>
      </c>
      <c r="AO324" s="1739">
        <f t="shared" ref="AO324" si="641">MAX(AO322:AO323)</f>
        <v>0</v>
      </c>
      <c r="AV324" s="7"/>
      <c r="AX324" s="7"/>
      <c r="AY324" s="734"/>
      <c r="AZ324" s="734"/>
      <c r="BA324" s="87"/>
      <c r="BB324" s="442"/>
      <c r="BC324" s="89"/>
      <c r="BD324" s="446"/>
      <c r="BE324" s="446"/>
      <c r="BF324" s="89"/>
      <c r="BG324" s="447"/>
      <c r="BH324" s="447"/>
      <c r="BI324" s="443"/>
      <c r="BN324" s="25"/>
      <c r="BP324" s="7"/>
      <c r="BQ324" s="7"/>
      <c r="BR324" s="7"/>
      <c r="BS324" s="7"/>
      <c r="BT324" s="7"/>
      <c r="BU324" s="7"/>
      <c r="BV324" s="7"/>
      <c r="BW324" s="7"/>
      <c r="BX324" s="7"/>
      <c r="BY324" s="7"/>
      <c r="BZ324" s="7"/>
    </row>
    <row r="325" spans="1:78" ht="52" thickBot="1" x14ac:dyDescent="0.25">
      <c r="B325" s="1700"/>
      <c r="C325" s="722" t="s">
        <v>616</v>
      </c>
      <c r="D325" s="723"/>
      <c r="E325" s="723" t="str">
        <f>IF(H325=H321,E321,E324)</f>
        <v>Le nouveau conjoint.e impose sa présence régulièrement durant votre temps de garde</v>
      </c>
      <c r="F325" s="724"/>
      <c r="G325" s="724"/>
      <c r="H325" s="724">
        <f>IF(AND(K321=TRUE,K324=FALSE),H321,IF(AND(K321=FALSE,K324=TRUE),H324,IF(AND(K321=TRUE,K324=TRUE),H321+H324,MAX(H321,H324))))</f>
        <v>28</v>
      </c>
      <c r="I325" s="1354"/>
      <c r="J325" s="725"/>
      <c r="K325" s="726" t="b">
        <f>IF(AND(K321=FALSE,K324=FALSE),FALSE,TRUE)</f>
        <v>1</v>
      </c>
      <c r="L325" s="1338"/>
      <c r="M325" s="1338"/>
      <c r="N325" s="1338"/>
      <c r="O325" s="1355"/>
      <c r="P325" s="1354"/>
      <c r="Q325" s="725"/>
      <c r="R325" s="726" t="b">
        <f>IF(AND(R321=FALSE,R324=FALSE),FALSE,TRUE)</f>
        <v>1</v>
      </c>
      <c r="S325" s="1354"/>
      <c r="T325" s="725"/>
      <c r="U325" s="726" t="b">
        <f>IF(AND(U321=FALSE,U324=FALSE),FALSE,TRUE)</f>
        <v>0</v>
      </c>
      <c r="V325" s="807"/>
      <c r="W325" s="821" t="str">
        <f>IF(K325=TRUE,"V","F")</f>
        <v>V</v>
      </c>
      <c r="X325" s="822"/>
      <c r="Y325" s="821" t="str">
        <f>IF(R325=TRUE,"V","F")</f>
        <v>V</v>
      </c>
      <c r="Z325" s="822"/>
      <c r="AA325" s="821" t="str">
        <f>IF(U325=TRUE,"V","F")</f>
        <v>F</v>
      </c>
      <c r="AB325" s="822"/>
      <c r="AC325" t="str">
        <f>IF(OR(W325="V",Y325="V"),IF(H324&gt;H321,"Le NC contribue plus que le coparent","Le coparent joue un plus grand rôle que le NC"),"pas de contexte significatif de la part du coparent et NC")</f>
        <v>Le NC contribue plus que le coparent</v>
      </c>
      <c r="AD325" s="10"/>
      <c r="AE325" s="10"/>
      <c r="AF325" s="10"/>
      <c r="AG325" s="591">
        <f>IF(AND($K321=TRUE,$K324=FALSE),AG321,IF(AND($K321=FALSE,$K324=TRUE),AG324,IF(AND($K321=TRUE,$K324=TRUE),AG321+AG324,0)))</f>
        <v>28</v>
      </c>
      <c r="AH325" s="591">
        <f>IF(AND($R321=TRUE,$R324=FALSE),AH321,IF(AND($R321=FALSE,$R324=TRUE),AH324,IF(AND($R321=TRUE,$R324=TRUE),AH321+AH324,0)))</f>
        <v>21</v>
      </c>
      <c r="AI325" s="591">
        <f>IF(AND($U321=TRUE,$U324=FALSE),AI321,IF(AND($U321=FALSE,$U324=TRUE),AI324,IF(AND($U321=TRUE,$U324=TRUE),AI321+AI324,0)))</f>
        <v>0</v>
      </c>
      <c r="AJ325" s="591">
        <f>IF(AND($K321=TRUE,$K324=FALSE),AJ321,IF(AND($K321=FALSE,$K324=TRUE),AJ324,IF(AND($K321=TRUE,$K324=TRUE),AJ321+AJ324,MAX(AJ321,AJ324))))</f>
        <v>19</v>
      </c>
      <c r="AK325" s="591">
        <f>IF(AND($K321=TRUE,$K324=FALSE),AK321,IF(AND($K321=FALSE,$K324=TRUE),AK324,IF(AND($K321=TRUE,$K324=TRUE),AK321+AK324,MAX(AK321,AK324))))</f>
        <v>40</v>
      </c>
      <c r="AL325" s="591">
        <f t="shared" ref="AL325" si="642">IF(AND($R321=TRUE,$R324=FALSE),AL321,IF(AND($R321=FALSE,$R324=TRUE),AL324,IF(AND($R321=TRUE,$R324=TRUE),AL321+AL324,MAX(AL321,AL324))))</f>
        <v>21</v>
      </c>
      <c r="AM325" s="591">
        <f t="shared" ref="AM325" si="643">IF(AND($R321=TRUE,$R324=FALSE),AM321,IF(AND($R321=FALSE,$R324=TRUE),AM324,IF(AND($R321=TRUE,$R324=TRUE),AM321+AM324,MAX(AM321,AM324))))</f>
        <v>30</v>
      </c>
      <c r="AN325" s="591">
        <f t="shared" ref="AN325" si="644">IF(AND($U321=TRUE,$U324=FALSE),AN321,IF(AND($U321=FALSE,$U324=TRUE),AN324,IF(AND($U321=TRUE,$U324=TRUE),AN321+AN324,MAX(AN321,AN324))))</f>
        <v>0</v>
      </c>
      <c r="AO325" s="591">
        <f t="shared" ref="AO325" si="645">IF(AND($U321=TRUE,$U324=FALSE),AO321,IF(AND($U321=FALSE,$U324=TRUE),AO324,IF(AND($U321=TRUE,$U324=TRUE),AO321+AO324,MAX(AO321,AO324))))</f>
        <v>0</v>
      </c>
      <c r="AV325" s="7"/>
      <c r="AX325" s="7"/>
      <c r="AY325" s="734"/>
      <c r="AZ325" s="734"/>
      <c r="BA325" s="87"/>
      <c r="BB325" s="442"/>
      <c r="BC325" s="89"/>
      <c r="BD325" s="446"/>
      <c r="BE325" s="446"/>
      <c r="BF325" s="89"/>
      <c r="BG325" s="447"/>
      <c r="BH325" s="447"/>
      <c r="BI325" s="443"/>
      <c r="BN325" s="25"/>
      <c r="BP325" s="7"/>
      <c r="BQ325" s="7"/>
      <c r="BR325" s="7"/>
      <c r="BS325" s="7"/>
      <c r="BT325" s="7"/>
      <c r="BU325" s="7"/>
      <c r="BV325" s="7"/>
      <c r="BW325" s="7"/>
      <c r="BX325" s="7"/>
      <c r="BY325" s="7"/>
      <c r="BZ325" s="7"/>
    </row>
    <row r="326" spans="1:78" ht="34" x14ac:dyDescent="0.2">
      <c r="A326" t="str">
        <f>IF(Test_Bible!B321="","F","O")</f>
        <v>O</v>
      </c>
      <c r="B326" s="1700" t="str">
        <f>'Cpts AR +indép + Sommaire'!S49</f>
        <v>Rôle actif de l'enfant</v>
      </c>
      <c r="C326" s="287" t="str">
        <f>'Cpts AR +indép + Sommaire'!O49</f>
        <v>E28</v>
      </c>
      <c r="D326" s="25" t="str">
        <f>'Cpts AR +indép + Sommaire'!P49</f>
        <v>Votre enfant s'isole ou se cache (ex.: chambre ou toilettes) pour appeler l'autre parent afin qu'on n'entende pas ses conversations.</v>
      </c>
      <c r="E326" s="78" t="s">
        <v>641</v>
      </c>
      <c r="F326" s="709">
        <f>'Cpts AR +indép + Sommaire'!Q49</f>
        <v>2</v>
      </c>
      <c r="G326" s="709">
        <f>'Cpts AR +indép + Sommaire'!R49</f>
        <v>2</v>
      </c>
      <c r="H326" s="709">
        <f>F326*G326</f>
        <v>4</v>
      </c>
      <c r="I326" s="1350">
        <v>7</v>
      </c>
      <c r="J326" s="1343">
        <v>10</v>
      </c>
      <c r="K326" s="31" t="b">
        <f>IF(AND(F326&gt;=I326,F326&lt;=J326),TRUE,FALSE)</f>
        <v>0</v>
      </c>
      <c r="L326" s="31"/>
      <c r="M326" s="31"/>
      <c r="N326" s="31"/>
      <c r="O326" s="1351"/>
      <c r="P326" s="1350">
        <v>2</v>
      </c>
      <c r="Q326" s="1343">
        <v>7</v>
      </c>
      <c r="R326" s="1351" t="b">
        <f>IF(AND(F326&gt;=P326,F326&lt;=Q326),TRUE,FALSE)</f>
        <v>1</v>
      </c>
      <c r="S326" s="1350"/>
      <c r="T326" s="1343"/>
      <c r="U326" s="1351"/>
      <c r="V326" s="807"/>
      <c r="W326" s="821" t="s">
        <v>753</v>
      </c>
      <c r="X326" s="822"/>
      <c r="Y326" s="821"/>
      <c r="Z326" s="822"/>
      <c r="AA326" s="821"/>
      <c r="AB326" s="822"/>
      <c r="AD326" s="10"/>
      <c r="AE326" s="10"/>
      <c r="AF326" s="10"/>
      <c r="AG326" s="832">
        <f>IF($K326=TRUE,H326,0)</f>
        <v>0</v>
      </c>
      <c r="AH326" s="832">
        <f>IF($R326=TRUE,H326,0)</f>
        <v>4</v>
      </c>
      <c r="AI326" s="832"/>
      <c r="AJ326" s="1490">
        <f t="shared" ref="AJ326:AJ327" si="646">IF(OR(I326=11,A326="F"),0,G326*I326)</f>
        <v>14</v>
      </c>
      <c r="AK326" s="1490">
        <f t="shared" ref="AK326:AK327" si="647">IF(OR(J326=11,A326="F"),0,G326*J326)</f>
        <v>20</v>
      </c>
      <c r="AL326" s="1490">
        <f t="shared" ref="AL326:AL327" si="648">IF(OR(P326=11,A326="F"),0,G326*P326)</f>
        <v>4</v>
      </c>
      <c r="AM326" s="1490">
        <f t="shared" ref="AM326:AM327" si="649">IF(OR(Q326=11,A326="F"),0,G326*Q326)</f>
        <v>14</v>
      </c>
      <c r="AN326" s="1490">
        <f t="shared" ref="AN326:AN327" si="650">IF(OR(S326=11,A326="F"),0,S326*G326)</f>
        <v>0</v>
      </c>
      <c r="AO326" s="1490">
        <f t="shared" ref="AO326:AO327" si="651">IF(OR(T326=11,A326="F"),0,T326*G326)</f>
        <v>0</v>
      </c>
      <c r="AV326" s="7"/>
      <c r="AX326" s="7"/>
      <c r="AY326" s="734"/>
      <c r="AZ326" s="734"/>
      <c r="BA326" s="87"/>
      <c r="BB326" s="442"/>
      <c r="BC326" s="89"/>
      <c r="BD326" s="446"/>
      <c r="BE326" s="446"/>
      <c r="BF326" s="89"/>
      <c r="BG326" s="447"/>
      <c r="BH326" s="447"/>
      <c r="BI326" s="443"/>
      <c r="BN326" s="25"/>
      <c r="BP326" s="7"/>
      <c r="BQ326" s="7"/>
      <c r="BR326" s="7"/>
      <c r="BS326" s="7"/>
      <c r="BT326" s="7"/>
      <c r="BU326" s="7"/>
      <c r="BV326" s="7"/>
      <c r="BW326" s="7"/>
      <c r="BX326" s="7"/>
      <c r="BY326" s="7"/>
      <c r="BZ326" s="7"/>
    </row>
    <row r="327" spans="1:78" ht="20" thickBot="1" x14ac:dyDescent="0.25">
      <c r="B327" s="1700"/>
      <c r="C327" s="287" t="s">
        <v>272</v>
      </c>
      <c r="D327" s="25"/>
      <c r="E327" s="78"/>
      <c r="F327" s="709"/>
      <c r="G327" s="708"/>
      <c r="H327" s="709">
        <f>F327*G327</f>
        <v>0</v>
      </c>
      <c r="I327" s="1374">
        <v>11</v>
      </c>
      <c r="J327" s="1375">
        <v>11</v>
      </c>
      <c r="K327" s="31" t="b">
        <f>IF(AND(F327&gt;=I327,F327&lt;=J327),TRUE,FALSE)</f>
        <v>0</v>
      </c>
      <c r="L327" s="31"/>
      <c r="M327" s="31"/>
      <c r="N327" s="31"/>
      <c r="O327" s="1351"/>
      <c r="P327" s="1374">
        <v>11</v>
      </c>
      <c r="Q327" s="1375">
        <v>11</v>
      </c>
      <c r="R327" s="1351" t="b">
        <f>IF(AND(F327&gt;=P327,F327&lt;=Q327),TRUE,FALSE)</f>
        <v>0</v>
      </c>
      <c r="S327" s="1374"/>
      <c r="T327" s="1375"/>
      <c r="U327" s="1351"/>
      <c r="V327" s="807"/>
      <c r="W327" s="821"/>
      <c r="X327" s="822"/>
      <c r="Y327" s="821"/>
      <c r="Z327" s="822"/>
      <c r="AA327" s="821"/>
      <c r="AB327" s="822"/>
      <c r="AD327" s="10"/>
      <c r="AE327" s="10"/>
      <c r="AF327" s="10"/>
      <c r="AG327" s="832">
        <f>IF($K327=TRUE,H327,0)</f>
        <v>0</v>
      </c>
      <c r="AH327" s="832">
        <f>IF($R327=TRUE,H327,0)</f>
        <v>0</v>
      </c>
      <c r="AI327" s="832"/>
      <c r="AJ327" s="1490">
        <f t="shared" si="646"/>
        <v>0</v>
      </c>
      <c r="AK327" s="1490">
        <f t="shared" si="647"/>
        <v>0</v>
      </c>
      <c r="AL327" s="1490">
        <f t="shared" si="648"/>
        <v>0</v>
      </c>
      <c r="AM327" s="1490">
        <f t="shared" si="649"/>
        <v>0</v>
      </c>
      <c r="AN327" s="1490">
        <f t="shared" si="650"/>
        <v>0</v>
      </c>
      <c r="AO327" s="1490">
        <f t="shared" si="651"/>
        <v>0</v>
      </c>
      <c r="AV327" s="7"/>
      <c r="AX327" s="7"/>
      <c r="AY327" s="734"/>
      <c r="AZ327" s="734"/>
      <c r="BA327" s="87"/>
      <c r="BB327" s="442"/>
      <c r="BC327" s="89"/>
      <c r="BD327" s="446"/>
      <c r="BE327" s="446"/>
      <c r="BF327" s="89"/>
      <c r="BG327" s="447"/>
      <c r="BH327" s="447"/>
      <c r="BI327" s="443"/>
      <c r="BN327" s="25"/>
      <c r="BP327" s="7"/>
      <c r="BQ327" s="7"/>
      <c r="BR327" s="7"/>
      <c r="BS327" s="7"/>
      <c r="BT327" s="7"/>
      <c r="BU327" s="7"/>
      <c r="BV327" s="7"/>
      <c r="BW327" s="7"/>
      <c r="BX327" s="7"/>
      <c r="BY327" s="7"/>
      <c r="BZ327" s="7"/>
    </row>
    <row r="328" spans="1:78" ht="35" thickBot="1" x14ac:dyDescent="0.25">
      <c r="B328" s="1700"/>
      <c r="C328" s="727" t="s">
        <v>611</v>
      </c>
      <c r="D328" s="728" t="str">
        <f>_xlfn.XLOOKUP(H328,H326:H327,D326:D327)</f>
        <v>Votre enfant s'isole ou se cache (ex.: chambre ou toilettes) pour appeler l'autre parent afin qu'on n'entende pas ses conversations.</v>
      </c>
      <c r="E328" s="728" t="str">
        <f>_xlfn.XLOOKUP(H328,H326:H327,E326:E327)</f>
        <v>s'isole ou se cache pour appeler l'autre parent</v>
      </c>
      <c r="F328" s="729"/>
      <c r="G328" s="729"/>
      <c r="H328" s="729">
        <f>IF(AND(K326=TRUE,K327=FALSE),H326,IF(AND(K326=FALSE,K327=TRUE),H327,MAX(H326,H327)))</f>
        <v>4</v>
      </c>
      <c r="I328" s="1356"/>
      <c r="J328" s="730"/>
      <c r="K328" s="731" t="b">
        <f>IF(AND(K326=FALSE,K327=FALSE),FALSE,TRUE)</f>
        <v>0</v>
      </c>
      <c r="L328" s="1339"/>
      <c r="M328" s="1339"/>
      <c r="N328" s="1339"/>
      <c r="O328" s="1357"/>
      <c r="P328" s="1356"/>
      <c r="Q328" s="730"/>
      <c r="R328" s="731" t="b">
        <f>IF(AND(R326=FALSE,R327=FALSE),FALSE,TRUE)</f>
        <v>1</v>
      </c>
      <c r="S328" s="1356"/>
      <c r="T328" s="730"/>
      <c r="U328" s="731"/>
      <c r="V328" s="807"/>
      <c r="W328" s="821" t="str">
        <f>IF(K328=TRUE,"V","F")</f>
        <v>F</v>
      </c>
      <c r="X328" s="822"/>
      <c r="Y328" s="821" t="str">
        <f>IF(R328=TRUE,"V","F")</f>
        <v>V</v>
      </c>
      <c r="Z328" s="822"/>
      <c r="AA328" s="821"/>
      <c r="AB328" s="822"/>
      <c r="AD328" s="10"/>
      <c r="AE328" s="10"/>
      <c r="AF328" s="10"/>
      <c r="AG328" s="1742">
        <f>IF(AND($K326=TRUE,$K327=FALSE),AG326,IF(AND($K326=FALSE,$K327=TRUE),AG327,IF(AND($K326=TRUE,$K327=TRUE),MAX(AG326,AG327),0)))</f>
        <v>0</v>
      </c>
      <c r="AH328" s="1742">
        <f>IF(AND($R326=TRUE,$R327=FALSE),AH326,IF(AND($R326=FALSE,$R327=TRUE),AH327,IF(AND($R326=TRUE,$R327=TRUE),MAX(AH326,AH327),0)))</f>
        <v>4</v>
      </c>
      <c r="AI328" s="1742"/>
      <c r="AJ328" s="1742">
        <f>IF(AND($K326=TRUE,$K327=FALSE),AJ326,IF(AND($K326=FALSE,$K327=TRUE),AJ327,IF(AND($K326=TRUE,$K327=TRUE),MAX(AJ326,AJ327),0)))</f>
        <v>0</v>
      </c>
      <c r="AK328" s="1742">
        <f>IF(AND($K326=TRUE,$K327=FALSE),AK326,IF(AND($K326=FALSE,$K327=TRUE),AK327,IF(AND($K326=TRUE,$K327=TRUE),MAX(AK326,AK327),0)))</f>
        <v>0</v>
      </c>
      <c r="AL328" s="1742">
        <f t="shared" ref="AL328" si="652">IF(AND($R326=TRUE,$R327=FALSE),AL326,IF(AND($R326=FALSE,$R327=TRUE),AL327,IF(AND($R326=TRUE,$R327=TRUE),MAX(AL326,AL327),0)))</f>
        <v>4</v>
      </c>
      <c r="AM328" s="1742">
        <f t="shared" ref="AM328" si="653">IF(AND($R326=TRUE,$R327=FALSE),AM326,IF(AND($R326=FALSE,$R327=TRUE),AM327,IF(AND($R326=TRUE,$R327=TRUE),MAX(AM326,AM327),0)))</f>
        <v>14</v>
      </c>
      <c r="AN328" s="1742"/>
      <c r="AO328" s="1742"/>
      <c r="AY328" s="734"/>
      <c r="AZ328" s="734"/>
      <c r="BA328" s="87"/>
      <c r="BB328" s="442"/>
      <c r="BC328" s="89"/>
      <c r="BD328" s="446"/>
      <c r="BE328" s="446"/>
      <c r="BF328" s="89"/>
      <c r="BG328" s="447"/>
      <c r="BH328" s="447"/>
      <c r="BI328" s="443"/>
    </row>
    <row r="329" spans="1:78" ht="68" x14ac:dyDescent="0.2">
      <c r="B329" s="1700"/>
      <c r="D329" s="386" t="s">
        <v>273</v>
      </c>
      <c r="E329" s="705"/>
      <c r="F329" s="439" t="s">
        <v>349</v>
      </c>
      <c r="G329" s="33"/>
      <c r="H329" s="33">
        <f>IF(AND(K325=TRUE,K328=FALSE),H325,IF(AND(K325=FALSE,K328=TRUE),H328,IF(AND(K325=TRUE,K328=TRUE),H325+H328,MAX(H325,H328))))</f>
        <v>28</v>
      </c>
      <c r="I329" s="1358"/>
      <c r="J329" s="440"/>
      <c r="K329" s="1341"/>
      <c r="L329" s="1342" t="str">
        <f>IF(AND(K328=TRUE,K325=TRUE),E328,"")</f>
        <v/>
      </c>
      <c r="M329" s="1342" t="str">
        <f>IF(AND(K325=TRUE,K328=FALSE),"Bien que le parent "&amp;E325&amp;" l'enfant ne semble pas s'ingérer","")</f>
        <v>Bien que le parent Le nouveau conjoint.e impose sa présence régulièrement durant votre temps de garde l'enfant ne semble pas s'ingérer</v>
      </c>
      <c r="N329" s="1342" t="str">
        <f>IF(AND(K325=FALSE,K328=TRUE),E328&amp;" sans signe de la participation du parent favorisé et|ou nouveau conjoint.e","")</f>
        <v/>
      </c>
      <c r="O329" s="1359" t="str">
        <f>IF(AND(K325=FALSE,K328=FALSE),"aucun comportement significatif de cette nature","")</f>
        <v/>
      </c>
      <c r="P329" s="1358"/>
      <c r="Q329" s="440"/>
      <c r="R329" s="1367"/>
      <c r="S329" s="1358"/>
      <c r="T329" s="440"/>
      <c r="U329" s="1367"/>
      <c r="V329" s="145"/>
      <c r="W329" s="823"/>
      <c r="X329" s="824">
        <f>IF(AND(W325="V",W328="V"),2,IF(OR(W325="V",W328="V"),1,0))</f>
        <v>1</v>
      </c>
      <c r="Y329" s="823"/>
      <c r="Z329" s="824">
        <f>IF(OR(Y325="V",Y328="V"),1,0)</f>
        <v>1</v>
      </c>
      <c r="AA329" s="823"/>
      <c r="AB329" s="824"/>
      <c r="AD329" s="10"/>
      <c r="AE329" s="10"/>
      <c r="AF329" s="10"/>
      <c r="AG329" s="1738">
        <f>IF(AND($W325="V",$W328="F"),AG325,IF(AND($W325="F",$W328="V"),AG328,IF(AND($W325="V",$W328="V"),AG325+AG328,0)))</f>
        <v>28</v>
      </c>
      <c r="AH329" s="1738">
        <f>IF(AND($Y325="V",$Y328="F"),AH325,IF(AND($Y325="F",$Y328="V"),AH328,IF(AND($Y325="V",$Y328="V"),AH325+AH328,0)))</f>
        <v>25</v>
      </c>
      <c r="AI329" s="1738"/>
      <c r="AJ329" s="1738">
        <f>IF(AND($W325="V",$W328="F"),AJ325,IF(AND($W325="F",$W328="V"),AJ328,IF(AND($W325="V",$W328="V"),AJ325+AJ328,0)))</f>
        <v>19</v>
      </c>
      <c r="AK329" s="1738">
        <f>IF(AND($W325="V",$W328="F"),AK325,IF(AND($W325="F",$W328="V"),AK328,IF(AND($W325="V",$W328="V"),AK325+AK328,0)))</f>
        <v>40</v>
      </c>
      <c r="AL329" s="1738">
        <f>IF(AND($Y325="V",$Y328="F"),AL325,IF(AND($Y325="F",$Y328="V"),AL328,IF(AND($Y325="V",$Y328="V"),AL325+AL328,0)))</f>
        <v>25</v>
      </c>
      <c r="AM329" s="1738">
        <f>IF(AND($Y325="V",$Y328="F"),AM325,IF(AND($Y325="F",$Y328="V"),AM328,IF(AND($Y325="V",$Y328="V"),AM325+AM328,0)))</f>
        <v>44</v>
      </c>
      <c r="AN329" s="1738"/>
      <c r="AO329" s="1738"/>
      <c r="AY329" s="734"/>
      <c r="AZ329" s="734"/>
      <c r="BA329" s="87"/>
      <c r="BB329" s="442"/>
      <c r="BC329" s="89"/>
      <c r="BD329" s="446"/>
      <c r="BE329" s="446"/>
      <c r="BF329" s="89"/>
      <c r="BG329" s="447"/>
      <c r="BH329" s="447"/>
      <c r="BI329" s="443"/>
    </row>
    <row r="330" spans="1:78" ht="19" x14ac:dyDescent="0.2">
      <c r="B330" s="1700"/>
      <c r="C330" t="s">
        <v>238</v>
      </c>
      <c r="I330" s="122"/>
      <c r="L330" s="32"/>
      <c r="M330" s="32"/>
      <c r="N330" s="32"/>
      <c r="O330" s="1379"/>
      <c r="P330" s="122"/>
      <c r="R330" s="292"/>
      <c r="S330" s="122"/>
      <c r="U330" s="292"/>
      <c r="V330" s="32"/>
      <c r="W330" s="821"/>
      <c r="X330" s="822"/>
      <c r="Y330" s="821"/>
      <c r="Z330" s="822"/>
      <c r="AA330" s="821"/>
      <c r="AB330" s="822"/>
      <c r="AD330" s="10"/>
      <c r="AE330" s="10"/>
      <c r="AF330" s="10"/>
      <c r="AG330" s="832"/>
      <c r="AH330" s="832"/>
      <c r="AI330" s="832"/>
      <c r="AJ330" s="1490"/>
      <c r="AK330" s="1490"/>
      <c r="AL330" s="1490"/>
      <c r="AM330" s="1490"/>
      <c r="AN330" s="1490"/>
      <c r="AO330" s="1490"/>
      <c r="AY330" s="734"/>
      <c r="AZ330" s="734"/>
      <c r="BA330" s="87"/>
      <c r="BB330" s="442"/>
      <c r="BC330" s="89"/>
      <c r="BD330" s="446"/>
      <c r="BE330" s="446"/>
      <c r="BF330" s="89"/>
      <c r="BG330" s="447"/>
      <c r="BH330" s="447"/>
      <c r="BI330" s="443"/>
    </row>
    <row r="331" spans="1:78" ht="48" x14ac:dyDescent="0.2">
      <c r="A331" t="str">
        <f>IF(Test_Bible!B135="","F","O")</f>
        <v>O</v>
      </c>
      <c r="B331" s="1700" t="str">
        <f>'Cpts AR +indép + Sommaire'!Y49</f>
        <v>Interférence temps et/ou communication</v>
      </c>
      <c r="C331" s="825" t="str">
        <f>'Cpts AR +indép + Sommaire'!U49</f>
        <v>PCR08</v>
      </c>
      <c r="D331" s="826" t="str">
        <f>'Cpts AR +indép + Sommaire'!V49</f>
        <v>À quelle fréquence communiquez-vous avec votre enfant lorsqu’il ou elle est chez l‘autre parent ?</v>
      </c>
      <c r="E331" s="826"/>
      <c r="F331" s="830">
        <f>'Cpts AR +indép + Sommaire'!W49</f>
        <v>4</v>
      </c>
      <c r="G331" s="830">
        <f>'Cpts AR +indép + Sommaire'!X49</f>
        <v>3</v>
      </c>
      <c r="H331" s="830">
        <f>F331*G331</f>
        <v>12</v>
      </c>
      <c r="I331" s="1350">
        <v>7</v>
      </c>
      <c r="J331" s="1343">
        <v>10</v>
      </c>
      <c r="K331" s="31" t="b">
        <f>IF(AND(F331&gt;=I331,F331&lt;=J331),TRUE,FALSE)</f>
        <v>0</v>
      </c>
      <c r="L331" s="26"/>
      <c r="M331" s="26"/>
      <c r="N331" s="26"/>
      <c r="O331" s="1360"/>
      <c r="P331" s="1374">
        <v>11</v>
      </c>
      <c r="Q331" s="1375">
        <v>11</v>
      </c>
      <c r="R331" s="1351" t="b">
        <f>IF(AND(F331&gt;=P331,F331&lt;=Q331),TRUE,FALSE)</f>
        <v>0</v>
      </c>
      <c r="S331" s="1374">
        <v>11</v>
      </c>
      <c r="T331" s="1375">
        <v>11</v>
      </c>
      <c r="U331" s="1351" t="b">
        <f>IF(AND(F331&gt;=S331,F331&lt;=T331),TRUE,FALSE)</f>
        <v>0</v>
      </c>
      <c r="V331" s="32"/>
      <c r="W331" s="821"/>
      <c r="X331" s="822"/>
      <c r="Y331" s="821"/>
      <c r="Z331" s="822"/>
      <c r="AA331" s="821"/>
      <c r="AB331" s="822"/>
      <c r="AD331" s="10"/>
      <c r="AE331" s="10"/>
      <c r="AF331" s="10"/>
      <c r="AG331" s="832">
        <f>IF($K331=TRUE,H331,0)</f>
        <v>0</v>
      </c>
      <c r="AH331" s="832">
        <f>IF($R331=TRUE,H331,0)</f>
        <v>0</v>
      </c>
      <c r="AI331" s="832">
        <f>IF($U331=TRUE,H331,0)</f>
        <v>0</v>
      </c>
      <c r="AJ331" s="1490">
        <f t="shared" ref="AJ331:AJ332" si="654">IF(OR(I331=11,A331="F"),0,G331*I331)</f>
        <v>21</v>
      </c>
      <c r="AK331" s="1490">
        <f t="shared" ref="AK331:AK332" si="655">IF(OR(J331=11,A331="F"),0,G331*J331)</f>
        <v>30</v>
      </c>
      <c r="AL331" s="1490">
        <f t="shared" ref="AL331:AL332" si="656">IF(OR(P331=11,A331="F"),0,G331*P331)</f>
        <v>0</v>
      </c>
      <c r="AM331" s="1490">
        <f t="shared" ref="AM331:AM332" si="657">IF(OR(Q331=11,A331="F"),0,G331*Q331)</f>
        <v>0</v>
      </c>
      <c r="AN331" s="1490">
        <f t="shared" ref="AN331:AN332" si="658">IF(OR(S331=11,A331="F"),0,S331*G331)</f>
        <v>0</v>
      </c>
      <c r="AO331" s="1490">
        <f t="shared" ref="AO331:AO332" si="659">IF(OR(T331=11,A331="F"),0,T331*G331)</f>
        <v>0</v>
      </c>
      <c r="AY331" s="734"/>
      <c r="AZ331" s="734"/>
      <c r="BA331" s="87"/>
      <c r="BB331" s="442"/>
      <c r="BC331" s="89"/>
      <c r="BD331" s="446"/>
      <c r="BE331" s="446"/>
      <c r="BF331" s="89"/>
      <c r="BG331" s="447"/>
      <c r="BH331" s="447"/>
      <c r="BI331" s="443"/>
    </row>
    <row r="332" spans="1:78" ht="20" thickBot="1" x14ac:dyDescent="0.25">
      <c r="B332" s="1700"/>
      <c r="C332" s="825"/>
      <c r="D332" s="829"/>
      <c r="E332" s="826"/>
      <c r="F332" s="830"/>
      <c r="G332" s="830"/>
      <c r="H332" s="830">
        <f>F332*G332</f>
        <v>0</v>
      </c>
      <c r="I332" s="1374">
        <v>11</v>
      </c>
      <c r="J332" s="1375">
        <v>11</v>
      </c>
      <c r="K332" s="31" t="b">
        <f>IF(AND(F332&gt;=I332,F332&lt;=J332),TRUE,FALSE)</f>
        <v>0</v>
      </c>
      <c r="L332" s="26"/>
      <c r="M332" s="26"/>
      <c r="N332" s="26"/>
      <c r="O332" s="1360"/>
      <c r="P332" s="1374">
        <v>11</v>
      </c>
      <c r="Q332" s="1375">
        <v>11</v>
      </c>
      <c r="R332" s="1351" t="b">
        <f>IF(AND(F332&gt;=P332,F332&lt;=Q332),TRUE,FALSE)</f>
        <v>0</v>
      </c>
      <c r="S332" s="1374">
        <v>11</v>
      </c>
      <c r="T332" s="1375">
        <v>11</v>
      </c>
      <c r="U332" s="1351" t="b">
        <f>IF(AND(F332&gt;=S332,F332&lt;=T332),TRUE,FALSE)</f>
        <v>0</v>
      </c>
      <c r="W332" s="821"/>
      <c r="X332" s="822"/>
      <c r="Y332" s="821"/>
      <c r="Z332" s="822"/>
      <c r="AA332" s="821"/>
      <c r="AB332" s="822"/>
      <c r="AD332" s="10"/>
      <c r="AE332" s="10"/>
      <c r="AF332" s="10"/>
      <c r="AG332" s="832">
        <f>IF($K332=TRUE,H332,0)</f>
        <v>0</v>
      </c>
      <c r="AH332" s="832">
        <f>IF($R332=TRUE,H332,0)</f>
        <v>0</v>
      </c>
      <c r="AI332" s="832">
        <f>IF($U332=TRUE,H332,0)</f>
        <v>0</v>
      </c>
      <c r="AJ332" s="1490">
        <f t="shared" si="654"/>
        <v>0</v>
      </c>
      <c r="AK332" s="1490">
        <f t="shared" si="655"/>
        <v>0</v>
      </c>
      <c r="AL332" s="1490">
        <f t="shared" si="656"/>
        <v>0</v>
      </c>
      <c r="AM332" s="1490">
        <f t="shared" si="657"/>
        <v>0</v>
      </c>
      <c r="AN332" s="1490">
        <f t="shared" si="658"/>
        <v>0</v>
      </c>
      <c r="AO332" s="1490">
        <f t="shared" si="659"/>
        <v>0</v>
      </c>
      <c r="AY332" s="734"/>
      <c r="AZ332" s="734"/>
      <c r="BA332" s="87"/>
      <c r="BB332" s="442"/>
      <c r="BC332" s="89"/>
      <c r="BD332" s="446"/>
      <c r="BE332" s="446"/>
      <c r="BF332" s="89"/>
      <c r="BG332" s="447"/>
      <c r="BH332" s="447"/>
      <c r="BI332" s="443"/>
    </row>
    <row r="333" spans="1:78" ht="22" thickBot="1" x14ac:dyDescent="0.25">
      <c r="B333" s="1700"/>
      <c r="D333" s="16"/>
      <c r="E333" s="16"/>
      <c r="F333" s="67"/>
      <c r="G333" s="438"/>
      <c r="H333" s="33">
        <f>IF(AND(K331=TRUE,K332=FALSE),H331,IF(AND(K331=FALSE,K332=TRUE),H332,MAX(H331,H332)))</f>
        <v>12</v>
      </c>
      <c r="I333" s="1371"/>
      <c r="J333" s="1372"/>
      <c r="K333" s="1378" t="b">
        <f>IF(AND(K331=FALSE,K332=FALSE),FALSE,TRUE)</f>
        <v>0</v>
      </c>
      <c r="L333" s="1361"/>
      <c r="M333" s="1362"/>
      <c r="N333" s="1362"/>
      <c r="O333" s="1363"/>
      <c r="P333" s="1371"/>
      <c r="Q333" s="1372"/>
      <c r="R333" s="1378" t="b">
        <f>IF(AND(R331=FALSE,R332=FALSE),FALSE,TRUE)</f>
        <v>0</v>
      </c>
      <c r="S333" s="1383"/>
      <c r="T333" s="1384"/>
      <c r="U333" s="1385" t="b">
        <f>IF(AND(U331=FALSE,U332=FALSE),FALSE,TRUE)</f>
        <v>0</v>
      </c>
      <c r="V333" s="809"/>
      <c r="W333" s="1315" t="str">
        <f>IF(K333=TRUE,"V","F")</f>
        <v>F</v>
      </c>
      <c r="X333" s="1316"/>
      <c r="Y333" s="1315" t="str">
        <f>IF(R333=TRUE,"V","F")</f>
        <v>F</v>
      </c>
      <c r="Z333" s="1316"/>
      <c r="AA333" s="1315" t="str">
        <f>IF(U333=TRUE,"V","F")</f>
        <v>F</v>
      </c>
      <c r="AB333" s="1316"/>
      <c r="AD333" s="10"/>
      <c r="AE333" s="10"/>
      <c r="AF333" s="10"/>
      <c r="AG333" s="1742">
        <f>IF(AND($K331=TRUE,$K332=FALSE),AG331,IF(AND($K331=FALSE,$K332=TRUE),AG332,MAX(AG331,AG332)))</f>
        <v>0</v>
      </c>
      <c r="AH333" s="1742">
        <f>IF(AND($R331=TRUE,$R332=FALSE),AH331,IF(AND($R331=FALSE,$R332=TRUE),AH332,MAX(AH331,AH332)))</f>
        <v>0</v>
      </c>
      <c r="AI333" s="1742">
        <f>IF(AND($U331=TRUE,$U332=FALSE),AI331,IF(AND($U331=FALSE,$U332=TRUE),AI332,MAX(AI331,AI332)))</f>
        <v>0</v>
      </c>
      <c r="AJ333" s="1742">
        <f>IF(AND($K331=TRUE,$K332=FALSE),AJ331,IF(AND($K331=FALSE,$K332=TRUE),AJ332,MAX(AJ331,AJ332)))</f>
        <v>21</v>
      </c>
      <c r="AK333" s="1742">
        <f>IF(AND($K331=TRUE,$K332=FALSE),AK331,IF(AND($K331=FALSE,$K332=TRUE),AK332,MAX(AK331,AK332)))</f>
        <v>30</v>
      </c>
      <c r="AL333" s="1742">
        <f>IF(AND($R331=TRUE,$R332=FALSE),AL331,IF(AND($R331=FALSE,$R332=TRUE),AL332,MAX(AL331,AL332)))</f>
        <v>0</v>
      </c>
      <c r="AM333" s="1742">
        <f>IF(AND($R331=TRUE,$R332=FALSE),AM331,IF(AND($R331=FALSE,$R332=TRUE),AM332,MAX(AM331,AM332)))</f>
        <v>0</v>
      </c>
      <c r="AN333" s="1742">
        <f>IF(AND($U331=TRUE,$U332=FALSE),AN331,IF(AND($U331=FALSE,$U332=TRUE),AN332,MAX(AN331,AN332)))</f>
        <v>0</v>
      </c>
      <c r="AO333" s="1742">
        <f>IF(AND($U331=TRUE,$U332=FALSE),AO331,IF(AND($U331=FALSE,$U332=TRUE),AO332,MAX(AO331,AO332)))</f>
        <v>0</v>
      </c>
      <c r="AY333" s="734"/>
      <c r="AZ333" s="734"/>
      <c r="BA333" s="87"/>
      <c r="BB333" s="442"/>
      <c r="BC333" s="89"/>
      <c r="BD333" s="446"/>
      <c r="BE333" s="446"/>
      <c r="BF333" s="89"/>
      <c r="BG333" s="447"/>
      <c r="BH333" s="447"/>
      <c r="BI333" s="443"/>
    </row>
    <row r="334" spans="1:78" ht="27" thickBot="1" x14ac:dyDescent="0.35">
      <c r="D334" s="16"/>
      <c r="E334" s="16"/>
      <c r="F334" s="67"/>
      <c r="G334" s="438"/>
      <c r="H334" s="438"/>
      <c r="I334" s="1380"/>
      <c r="J334" s="1380"/>
      <c r="K334" s="807"/>
      <c r="L334" s="1381"/>
      <c r="M334" s="1382"/>
      <c r="N334" s="1382"/>
      <c r="P334" s="1380"/>
      <c r="Q334" s="1380"/>
      <c r="R334" s="807"/>
      <c r="S334" s="8"/>
      <c r="T334" s="8"/>
      <c r="U334" s="807"/>
      <c r="V334" s="809"/>
      <c r="W334" s="1376"/>
      <c r="X334" s="1377">
        <f>IF(AND(W333="V",W325="V"),X329-1,X329)</f>
        <v>1</v>
      </c>
      <c r="Y334" s="1376"/>
      <c r="Z334" s="1377">
        <f>IF(OR(Y325="V",Y328="V",Y333="V"),1,0)</f>
        <v>1</v>
      </c>
      <c r="AA334" s="1376"/>
      <c r="AB334" s="1377">
        <f>IF(AA325="V",1,IF(AA333="V",1,0))</f>
        <v>0</v>
      </c>
      <c r="AD334" s="10">
        <f>X334</f>
        <v>1</v>
      </c>
      <c r="AE334" s="10">
        <f>Z334</f>
        <v>1</v>
      </c>
      <c r="AF334" s="10">
        <f>AB334</f>
        <v>0</v>
      </c>
      <c r="AG334" s="1741">
        <f>IF($W333="F",AG329,AG329+AG333)</f>
        <v>28</v>
      </c>
      <c r="AH334" s="1741">
        <f>IF($Y333="F",AH329,AH329+AH333)</f>
        <v>25</v>
      </c>
      <c r="AI334" s="1741">
        <f>IF(AND($AA325="V",$AA333="F"),AI325,IF(AND($AA325="F",$AA333="V"),AI333,IF(AND($AA325="V",$AA333="V"),AI325+AI333,0)))</f>
        <v>0</v>
      </c>
      <c r="AJ334" s="1741">
        <f>IF($W333="F",AJ329,AJ329+AJ333)</f>
        <v>19</v>
      </c>
      <c r="AK334" s="1741">
        <f t="shared" ref="AK334" si="660">IF($W333="F",AK329,AK329+AK333)</f>
        <v>40</v>
      </c>
      <c r="AL334" s="1741">
        <f t="shared" ref="AL334" si="661">IF($Y333="F",AL329,AL329+AL333)</f>
        <v>25</v>
      </c>
      <c r="AM334" s="1741">
        <f t="shared" ref="AM334" si="662">IF($Y333="F",AM329,AM329+AM333)</f>
        <v>44</v>
      </c>
      <c r="AN334" s="1741">
        <f t="shared" ref="AN334" si="663">IF(AND($AA325="V",$AA333="F"),AN325,IF(AND($AA325="F",$AA333="V"),AN333,IF(AND($AA325="V",$AA333="V"),AN325+AN333,0)))</f>
        <v>0</v>
      </c>
      <c r="AO334" s="1741">
        <f t="shared" ref="AO334" si="664">IF(AND($AA325="V",$AA333="F"),AO325,IF(AND($AA325="F",$AA333="V"),AO333,IF(AND($AA325="V",$AA333="V"),AO325+AO333,0)))</f>
        <v>0</v>
      </c>
      <c r="AY334" s="734"/>
      <c r="AZ334" s="734"/>
      <c r="BA334" s="87"/>
      <c r="BB334" s="442"/>
      <c r="BC334" s="89"/>
      <c r="BD334" s="446"/>
      <c r="BE334" s="446"/>
      <c r="BF334" s="89"/>
      <c r="BG334" s="447"/>
      <c r="BH334" s="447"/>
      <c r="BI334" s="443"/>
    </row>
    <row r="335" spans="1:78" x14ac:dyDescent="0.3">
      <c r="D335" s="16"/>
      <c r="E335" s="16"/>
      <c r="F335" s="67"/>
      <c r="G335" s="438"/>
      <c r="H335" s="438"/>
      <c r="I335" s="1344"/>
      <c r="J335" s="1345"/>
      <c r="K335" s="1346"/>
      <c r="L335" s="2603"/>
      <c r="M335" s="2603"/>
      <c r="N335" s="2603"/>
      <c r="O335" s="1347"/>
      <c r="P335" s="1364"/>
      <c r="Q335" s="1346"/>
      <c r="R335" s="1347"/>
      <c r="S335" s="1364"/>
      <c r="T335" s="1346"/>
      <c r="U335" s="1347"/>
      <c r="V335" s="145"/>
      <c r="W335" s="1387"/>
      <c r="X335" s="1388"/>
      <c r="Y335" s="1231"/>
      <c r="Z335" s="1231"/>
      <c r="AA335" s="1231"/>
      <c r="AB335" s="1231"/>
      <c r="AD335" s="10"/>
      <c r="AE335" s="10"/>
      <c r="AF335" s="10"/>
      <c r="AY335" s="734"/>
      <c r="AZ335" s="734"/>
      <c r="BA335" s="87"/>
      <c r="BB335" s="442"/>
      <c r="BC335" s="89"/>
      <c r="BD335" s="446"/>
      <c r="BE335" s="446"/>
      <c r="BF335" s="89"/>
      <c r="BG335" s="447"/>
      <c r="BH335" s="447"/>
      <c r="BI335" s="443"/>
    </row>
    <row r="336" spans="1:78" x14ac:dyDescent="0.3">
      <c r="B336" s="1699">
        <v>16</v>
      </c>
      <c r="D336" s="441" t="str">
        <f>'Cpts AR +indép + Sommaire'!B51</f>
        <v>Contrôle des communications</v>
      </c>
      <c r="E336" s="84"/>
      <c r="F336" s="50"/>
      <c r="G336" s="18"/>
      <c r="H336" s="18"/>
      <c r="I336" s="2595" t="s">
        <v>604</v>
      </c>
      <c r="J336" s="2596"/>
      <c r="K336" s="2596"/>
      <c r="L336" s="2597" t="s">
        <v>1086</v>
      </c>
      <c r="M336" s="2597"/>
      <c r="N336" s="2597"/>
      <c r="O336" s="2598"/>
      <c r="P336" s="2599" t="s">
        <v>603</v>
      </c>
      <c r="Q336" s="2600"/>
      <c r="R336" s="2601"/>
      <c r="S336" s="2590" t="s">
        <v>605</v>
      </c>
      <c r="T336" s="2591"/>
      <c r="U336" s="2592"/>
      <c r="V336" s="15"/>
      <c r="W336" s="817"/>
      <c r="X336" s="817"/>
      <c r="Y336" s="817"/>
      <c r="Z336" s="817"/>
      <c r="AA336" s="817"/>
      <c r="AB336" s="818"/>
      <c r="AD336" s="10"/>
      <c r="AE336" s="10"/>
      <c r="AF336" s="10"/>
      <c r="AG336" s="1386" t="s">
        <v>604</v>
      </c>
      <c r="AH336" s="1386" t="s">
        <v>603</v>
      </c>
      <c r="AI336" s="1386" t="s">
        <v>605</v>
      </c>
      <c r="AJ336" s="2589" t="s">
        <v>604</v>
      </c>
      <c r="AK336" s="2589"/>
      <c r="AL336" s="2589" t="s">
        <v>603</v>
      </c>
      <c r="AM336" s="2589"/>
      <c r="AN336" s="2589" t="s">
        <v>605</v>
      </c>
      <c r="AO336" s="2589"/>
      <c r="AY336" s="734"/>
      <c r="AZ336" s="734"/>
      <c r="BA336" s="87"/>
      <c r="BB336" s="442"/>
      <c r="BC336" s="89"/>
      <c r="BD336" s="446"/>
      <c r="BE336" s="446"/>
      <c r="BF336" s="89"/>
      <c r="BG336" s="447"/>
      <c r="BH336" s="447"/>
      <c r="BI336" s="443"/>
    </row>
    <row r="337" spans="1:78" ht="36" x14ac:dyDescent="0.3">
      <c r="D337" s="79" t="s">
        <v>779</v>
      </c>
      <c r="E337" s="835" t="s">
        <v>778</v>
      </c>
      <c r="F337" s="26" t="s">
        <v>226</v>
      </c>
      <c r="G337" s="26" t="s">
        <v>22</v>
      </c>
      <c r="H337" s="26" t="s">
        <v>612</v>
      </c>
      <c r="I337" s="1348" t="s">
        <v>269</v>
      </c>
      <c r="J337" s="29" t="s">
        <v>270</v>
      </c>
      <c r="K337" s="29" t="s">
        <v>271</v>
      </c>
      <c r="L337" s="29" t="s">
        <v>363</v>
      </c>
      <c r="M337" s="29" t="s">
        <v>339</v>
      </c>
      <c r="N337" s="29" t="s">
        <v>340</v>
      </c>
      <c r="O337" s="1349" t="s">
        <v>341</v>
      </c>
      <c r="P337" s="1348" t="s">
        <v>269</v>
      </c>
      <c r="Q337" s="29" t="s">
        <v>270</v>
      </c>
      <c r="R337" s="1349" t="s">
        <v>271</v>
      </c>
      <c r="S337" s="1348" t="s">
        <v>269</v>
      </c>
      <c r="T337" s="29" t="s">
        <v>270</v>
      </c>
      <c r="U337" s="1349" t="s">
        <v>271</v>
      </c>
      <c r="V337" s="736"/>
      <c r="W337" s="827" t="s">
        <v>604</v>
      </c>
      <c r="X337" s="828" t="s">
        <v>754</v>
      </c>
      <c r="Y337" s="827" t="s">
        <v>603</v>
      </c>
      <c r="Z337" s="828" t="s">
        <v>755</v>
      </c>
      <c r="AA337" s="827" t="s">
        <v>605</v>
      </c>
      <c r="AB337" s="828" t="s">
        <v>756</v>
      </c>
      <c r="AD337" s="10"/>
      <c r="AE337" s="10"/>
      <c r="AF337" s="10"/>
      <c r="AG337" s="10"/>
      <c r="AH337" s="10"/>
      <c r="AI337" s="10"/>
      <c r="AJ337" s="1490" t="s">
        <v>1058</v>
      </c>
      <c r="AK337" s="1490" t="s">
        <v>1059</v>
      </c>
      <c r="AL337" s="1490" t="s">
        <v>1058</v>
      </c>
      <c r="AM337" s="1490" t="s">
        <v>1059</v>
      </c>
      <c r="AN337" s="1490" t="s">
        <v>1058</v>
      </c>
      <c r="AO337" s="1490" t="s">
        <v>1059</v>
      </c>
      <c r="AY337" s="734"/>
      <c r="AZ337" s="734"/>
      <c r="BA337" s="87"/>
      <c r="BB337" s="442"/>
      <c r="BC337" s="89"/>
      <c r="BD337" s="446"/>
      <c r="BE337" s="446"/>
      <c r="BF337" s="89"/>
      <c r="BG337" s="447"/>
      <c r="BH337" s="447"/>
      <c r="BI337" s="443"/>
    </row>
    <row r="338" spans="1:78" ht="48" x14ac:dyDescent="0.2">
      <c r="A338" t="str">
        <f>IF(Test_Bible!B201="","F","O")</f>
        <v>O</v>
      </c>
      <c r="B338" s="1700" t="str">
        <f>'Cpts AR +indép + Sommaire'!G51</f>
        <v>Interférence temps et/ou communication</v>
      </c>
      <c r="C338" s="379" t="str">
        <f>'Cpts AR +indép + Sommaire'!C51</f>
        <v>PFA20</v>
      </c>
      <c r="D338" s="25" t="str">
        <f>'Cpts AR +indép + Sommaire'!D51</f>
        <v>Il est facile de communiquer avec votre enfant lorsqu’il est chez l’autre parent.</v>
      </c>
      <c r="E338" s="78" t="s">
        <v>642</v>
      </c>
      <c r="F338" s="709">
        <f>'Cpts AR +indép + Sommaire'!E51</f>
        <v>10</v>
      </c>
      <c r="G338" s="709">
        <f>'Cpts AR +indép + Sommaire'!F51</f>
        <v>1</v>
      </c>
      <c r="H338" s="709">
        <f>F338*G338</f>
        <v>10</v>
      </c>
      <c r="I338" s="1350">
        <v>7</v>
      </c>
      <c r="J338" s="1343">
        <v>10</v>
      </c>
      <c r="K338" s="31" t="b">
        <f>IF(AND(F338&gt;=I338,F338&lt;=J338),TRUE,FALSE)</f>
        <v>1</v>
      </c>
      <c r="L338" s="31"/>
      <c r="M338" s="31"/>
      <c r="N338" s="31"/>
      <c r="O338" s="1351"/>
      <c r="P338" s="1374">
        <v>11</v>
      </c>
      <c r="Q338" s="1375">
        <v>11</v>
      </c>
      <c r="R338" s="1351" t="b">
        <f>IF(AND(F338&gt;=P338,F338&lt;=Q338),TRUE,FALSE)</f>
        <v>0</v>
      </c>
      <c r="S338" s="1374">
        <v>11</v>
      </c>
      <c r="T338" s="1375">
        <v>11</v>
      </c>
      <c r="U338" s="1351" t="b">
        <f>IF(AND(F338&gt;=S338,F338&lt;=T338),TRUE,FALSE)</f>
        <v>0</v>
      </c>
      <c r="V338" s="1327"/>
      <c r="W338" s="819"/>
      <c r="X338" s="820"/>
      <c r="Y338" s="819"/>
      <c r="Z338" s="820"/>
      <c r="AA338" s="819"/>
      <c r="AB338" s="820"/>
      <c r="AD338" s="10"/>
      <c r="AE338" s="10"/>
      <c r="AF338" s="10"/>
      <c r="AG338" s="832">
        <f>IF($K338=TRUE,H338,0)</f>
        <v>10</v>
      </c>
      <c r="AH338" s="832">
        <f>IF($R338=TRUE,H338,0)</f>
        <v>0</v>
      </c>
      <c r="AI338" s="832">
        <f>IF($U338=TRUE,H338,0)</f>
        <v>0</v>
      </c>
      <c r="AJ338" s="1490">
        <f t="shared" ref="AJ338:AJ339" si="665">IF(OR(I338=11,A338="F"),0,G338*I338)</f>
        <v>7</v>
      </c>
      <c r="AK338" s="1490">
        <f t="shared" ref="AK338:AK339" si="666">IF(OR(J338=11,A338="F"),0,G338*J338)</f>
        <v>10</v>
      </c>
      <c r="AL338" s="1490">
        <f t="shared" ref="AL338:AL339" si="667">IF(OR(P338=11,A338="F"),0,G338*P338)</f>
        <v>0</v>
      </c>
      <c r="AM338" s="1490">
        <f t="shared" ref="AM338:AM339" si="668">IF(OR(Q338=11,A338="F"),0,G338*Q338)</f>
        <v>0</v>
      </c>
      <c r="AN338" s="1490">
        <f t="shared" ref="AN338:AN339" si="669">IF(OR(S338=11,A338="F"),0,S338*G338)</f>
        <v>0</v>
      </c>
      <c r="AO338" s="1490">
        <f t="shared" ref="AO338:AO339" si="670">IF(OR(T338=11,A338="F"),0,T338*G338)</f>
        <v>0</v>
      </c>
      <c r="AY338" s="734"/>
      <c r="AZ338" s="734"/>
      <c r="BA338" s="87"/>
      <c r="BB338" s="442"/>
      <c r="BC338" s="89"/>
      <c r="BD338" s="446"/>
      <c r="BE338" s="446"/>
      <c r="BF338" s="89"/>
      <c r="BG338" s="447"/>
      <c r="BH338" s="447"/>
      <c r="BI338" s="443"/>
    </row>
    <row r="339" spans="1:78" ht="51" x14ac:dyDescent="0.2">
      <c r="A339" t="str">
        <f>IF(Test_Bible!B202="","F","O")</f>
        <v>O</v>
      </c>
      <c r="B339" s="1700" t="str">
        <f>'Cpts AR +indép + Sommaire'!G52</f>
        <v>Interférence temps et/ou communication</v>
      </c>
      <c r="C339" s="379" t="str">
        <f>'Cpts AR +indép + Sommaire'!C52</f>
        <v>PFA20a</v>
      </c>
      <c r="D339" s="698" t="str">
        <f>'Cpts AR +indép + Sommaire'!D52</f>
        <v>Arrive-t-il que l'autre parent contrôle, écoute ou écourte vos conversations téléphoniques avec votre enfant (lors de son tour de garde) ?</v>
      </c>
      <c r="E339" s="78" t="s">
        <v>352</v>
      </c>
      <c r="F339" s="709">
        <f>'Cpts AR +indép + Sommaire'!E52</f>
        <v>7</v>
      </c>
      <c r="G339" s="709">
        <f>'Cpts AR +indép + Sommaire'!F52</f>
        <v>2</v>
      </c>
      <c r="H339" s="709">
        <f>F339*G339</f>
        <v>14</v>
      </c>
      <c r="I339" s="1350">
        <v>4</v>
      </c>
      <c r="J339" s="1343">
        <v>10</v>
      </c>
      <c r="K339" s="31" t="b">
        <f>IF(AND(F339&gt;=I339,F339&lt;=J339),TRUE,FALSE)</f>
        <v>1</v>
      </c>
      <c r="L339" s="31"/>
      <c r="M339" s="31"/>
      <c r="N339" s="31"/>
      <c r="O339" s="1351"/>
      <c r="P339" s="1374">
        <v>11</v>
      </c>
      <c r="Q339" s="1375">
        <v>11</v>
      </c>
      <c r="R339" s="1351" t="b">
        <f>IF(AND(F339&gt;=P339,F339&lt;=Q339),TRUE,FALSE)</f>
        <v>0</v>
      </c>
      <c r="S339" s="1350">
        <v>4</v>
      </c>
      <c r="T339" s="1343">
        <v>7</v>
      </c>
      <c r="U339" s="1351" t="b">
        <f>IF(AND(F339&gt;=S339,F339&lt;=T339),TRUE,FALSE)</f>
        <v>1</v>
      </c>
      <c r="V339" s="807"/>
      <c r="W339" s="821"/>
      <c r="X339" s="822"/>
      <c r="Y339" s="821"/>
      <c r="Z339" s="822"/>
      <c r="AA339" s="821"/>
      <c r="AB339" s="822"/>
      <c r="AD339" s="10"/>
      <c r="AE339" s="10"/>
      <c r="AF339" s="10"/>
      <c r="AG339" s="832">
        <f>IF($K339=TRUE,H339,0)</f>
        <v>14</v>
      </c>
      <c r="AH339" s="832">
        <f>IF($R339=TRUE,H339,0)</f>
        <v>0</v>
      </c>
      <c r="AI339" s="832">
        <f>IF($U339=TRUE,H339,0)</f>
        <v>14</v>
      </c>
      <c r="AJ339" s="1490">
        <f t="shared" si="665"/>
        <v>8</v>
      </c>
      <c r="AK339" s="1490">
        <f t="shared" si="666"/>
        <v>20</v>
      </c>
      <c r="AL339" s="1490">
        <f t="shared" si="667"/>
        <v>0</v>
      </c>
      <c r="AM339" s="1490">
        <f t="shared" si="668"/>
        <v>0</v>
      </c>
      <c r="AN339" s="1490">
        <f t="shared" si="669"/>
        <v>8</v>
      </c>
      <c r="AO339" s="1490">
        <f t="shared" si="670"/>
        <v>14</v>
      </c>
      <c r="AY339" s="734"/>
      <c r="AZ339" s="734"/>
      <c r="BA339" s="87"/>
      <c r="BB339" s="442"/>
      <c r="BC339" s="89"/>
      <c r="BD339" s="446"/>
      <c r="BE339" s="446"/>
      <c r="BF339" s="89"/>
      <c r="BG339" s="447"/>
      <c r="BH339" s="447"/>
      <c r="BI339" s="443"/>
    </row>
    <row r="340" spans="1:78" ht="51" x14ac:dyDescent="0.2">
      <c r="B340" s="1702"/>
      <c r="C340" s="710" t="s">
        <v>609</v>
      </c>
      <c r="D340" s="711" t="str">
        <f>_xlfn.XLOOKUP(H340,H338:H339,D338:D339)</f>
        <v>Arrive-t-il que l'autre parent contrôle, écoute ou écourte vos conversations téléphoniques avec votre enfant (lors de son tour de garde) ?</v>
      </c>
      <c r="E340" s="712" t="str">
        <f>_xlfn.XLOOKUP(H340,H338:H339,E338:E339)</f>
        <v>contrôle et écourte les conversations téléphoniques</v>
      </c>
      <c r="F340" s="713"/>
      <c r="G340" s="713"/>
      <c r="H340" s="713">
        <f>IF(AND(K338=TRUE,K339=FALSE),H338,IF(AND(K338=FALSE,K339=TRUE),H339,MAX(H338,H339)))</f>
        <v>14</v>
      </c>
      <c r="I340" s="1352"/>
      <c r="J340" s="714"/>
      <c r="K340" s="715" t="b">
        <f>IF(AND(K338=FALSE,K339=FALSE),FALSE,TRUE)</f>
        <v>1</v>
      </c>
      <c r="L340" s="31"/>
      <c r="M340" s="31"/>
      <c r="N340" s="31"/>
      <c r="O340" s="1351"/>
      <c r="P340" s="1352"/>
      <c r="Q340" s="714"/>
      <c r="R340" s="1365" t="b">
        <f>IF(AND(R338=FALSE,R339=FALSE),FALSE,TRUE)</f>
        <v>0</v>
      </c>
      <c r="S340" s="1352"/>
      <c r="T340" s="714"/>
      <c r="U340" s="1365" t="b">
        <f>IF(AND(U338=FALSE,U339=FALSE),FALSE,TRUE)</f>
        <v>1</v>
      </c>
      <c r="V340" s="807"/>
      <c r="W340" s="821"/>
      <c r="X340" s="822"/>
      <c r="Y340" s="821"/>
      <c r="Z340" s="822"/>
      <c r="AA340" s="821"/>
      <c r="AB340" s="822"/>
      <c r="AD340" s="10"/>
      <c r="AE340" s="10"/>
      <c r="AF340" s="10"/>
      <c r="AG340" s="1740">
        <f>IF($K340=TRUE,MAX(AG338:AG339),0)</f>
        <v>14</v>
      </c>
      <c r="AH340" s="1740">
        <f>IF($R340=TRUE,MAX(AH338:AH339),0)</f>
        <v>0</v>
      </c>
      <c r="AI340" s="1740">
        <f>IF($U340=TRUE,MAX(AI338:AI339),0)</f>
        <v>14</v>
      </c>
      <c r="AJ340" s="1739">
        <f>MAX(AJ338:AJ339)</f>
        <v>8</v>
      </c>
      <c r="AK340" s="1739">
        <f t="shared" ref="AK340" si="671">MAX(AK338:AK339)</f>
        <v>20</v>
      </c>
      <c r="AL340" s="1739">
        <f t="shared" ref="AL340" si="672">MAX(AL338:AL339)</f>
        <v>0</v>
      </c>
      <c r="AM340" s="1739">
        <f t="shared" ref="AM340" si="673">MAX(AM338:AM339)</f>
        <v>0</v>
      </c>
      <c r="AN340" s="1739">
        <f t="shared" ref="AN340" si="674">MAX(AN338:AN339)</f>
        <v>8</v>
      </c>
      <c r="AO340" s="1739">
        <f t="shared" ref="AO340" si="675">MAX(AO338:AO339)</f>
        <v>14</v>
      </c>
      <c r="AY340" s="734"/>
      <c r="AZ340" s="734"/>
      <c r="BA340" s="87"/>
      <c r="BB340" s="442"/>
      <c r="BC340" s="89"/>
      <c r="BD340" s="446"/>
      <c r="BE340" s="446"/>
      <c r="BF340" s="89"/>
      <c r="BG340" s="447"/>
      <c r="BH340" s="447"/>
      <c r="BI340" s="443"/>
    </row>
    <row r="341" spans="1:78" ht="51" x14ac:dyDescent="0.2">
      <c r="A341" t="str">
        <f>IF(Test_Bible!B420="","F","O")</f>
        <v>O</v>
      </c>
      <c r="B341" s="1531" t="str">
        <f>'Cpts AR +indép + Sommaire'!M52</f>
        <v>Interférence temps et/ou communication</v>
      </c>
      <c r="C341" s="38" t="str">
        <f>'Cpts AR +indép + Sommaire'!I52</f>
        <v>NC10</v>
      </c>
      <c r="D341" s="25" t="str">
        <f>'Cpts AR +indép + Sommaire'!J52</f>
        <v>Arrive-t-il que le nouveau ou nouvelle conjoint·e interfère, écoute ou écourte vos conversations téléphoniques avec votre enfant ?</v>
      </c>
      <c r="E341" s="78" t="s">
        <v>651</v>
      </c>
      <c r="F341" s="709">
        <f>'Cpts AR +indép + Sommaire'!K52</f>
        <v>7</v>
      </c>
      <c r="G341" s="709">
        <f>'Cpts AR +indép + Sommaire'!L52</f>
        <v>2</v>
      </c>
      <c r="H341" s="709">
        <f>F341*G341</f>
        <v>14</v>
      </c>
      <c r="I341" s="1350">
        <v>4</v>
      </c>
      <c r="J341" s="1343">
        <v>10</v>
      </c>
      <c r="K341" s="31" t="b">
        <f>IF(AND(F341&gt;=I341,F341&lt;=J341),TRUE,FALSE)</f>
        <v>1</v>
      </c>
      <c r="L341" s="31"/>
      <c r="M341" s="31"/>
      <c r="N341" s="31"/>
      <c r="O341" s="1351"/>
      <c r="P341" s="1374">
        <v>11</v>
      </c>
      <c r="Q341" s="1375">
        <v>11</v>
      </c>
      <c r="R341" s="1351" t="b">
        <f>IF(AND(F341&gt;=P341,F341&lt;=Q341),TRUE,FALSE)</f>
        <v>0</v>
      </c>
      <c r="S341" s="1350">
        <v>2</v>
      </c>
      <c r="T341" s="1343">
        <v>7</v>
      </c>
      <c r="U341" s="1351" t="b">
        <f>IF(AND(F341&gt;=S341,F341&lt;=T341),TRUE,FALSE)</f>
        <v>1</v>
      </c>
      <c r="V341" s="807"/>
      <c r="W341" s="821"/>
      <c r="X341" s="822"/>
      <c r="Y341" s="821"/>
      <c r="Z341" s="822"/>
      <c r="AA341" s="821"/>
      <c r="AB341" s="822"/>
      <c r="AD341" s="10"/>
      <c r="AE341" s="10"/>
      <c r="AF341" s="10"/>
      <c r="AG341" s="832">
        <f>IF(K341=TRUE,H341,0)</f>
        <v>14</v>
      </c>
      <c r="AH341" s="832">
        <f>IF(R341=TRUE,H341,0)</f>
        <v>0</v>
      </c>
      <c r="AI341" s="832">
        <f>IF(U341=TRUE,H341,0)</f>
        <v>14</v>
      </c>
      <c r="AJ341" s="1490">
        <f t="shared" ref="AJ341:AJ342" si="676">IF(OR(I341=11,A341="F"),0,G341*I341)</f>
        <v>8</v>
      </c>
      <c r="AK341" s="1490">
        <f t="shared" ref="AK341:AK342" si="677">IF(OR(J341=11,A341="F"),0,G341*J341)</f>
        <v>20</v>
      </c>
      <c r="AL341" s="1490">
        <f t="shared" ref="AL341:AL342" si="678">IF(OR(P341=11,A341="F"),0,G341*P341)</f>
        <v>0</v>
      </c>
      <c r="AM341" s="1490">
        <f t="shared" ref="AM341:AM342" si="679">IF(OR(Q341=11,A341="F"),0,G341*Q341)</f>
        <v>0</v>
      </c>
      <c r="AN341" s="1490">
        <f t="shared" ref="AN341:AN342" si="680">IF(OR(S341=11,A341="F"),0,S341*G341)</f>
        <v>4</v>
      </c>
      <c r="AO341" s="1490">
        <f t="shared" ref="AO341:AO342" si="681">IF(OR(T341=11,A341="F"),0,T341*G341)</f>
        <v>14</v>
      </c>
      <c r="AY341" s="734"/>
      <c r="AZ341" s="734"/>
      <c r="BA341" s="87"/>
      <c r="BB341" s="442"/>
      <c r="BC341" s="89"/>
      <c r="BD341" s="446"/>
      <c r="BE341" s="446"/>
      <c r="BF341" s="89"/>
      <c r="BG341" s="447"/>
      <c r="BH341" s="447"/>
      <c r="BI341" s="443"/>
    </row>
    <row r="342" spans="1:78" ht="19" x14ac:dyDescent="0.2">
      <c r="B342" s="1700"/>
      <c r="C342" s="38" t="s">
        <v>242</v>
      </c>
      <c r="D342" s="25"/>
      <c r="E342" s="48"/>
      <c r="F342" s="27"/>
      <c r="G342" s="27"/>
      <c r="H342" s="27">
        <f>F342*G342</f>
        <v>0</v>
      </c>
      <c r="I342" s="1374">
        <v>11</v>
      </c>
      <c r="J342" s="1375">
        <v>11</v>
      </c>
      <c r="K342" s="31" t="b">
        <f>IF(AND(F342&gt;=I342,F342&lt;=J342),TRUE,FALSE)</f>
        <v>0</v>
      </c>
      <c r="L342" s="31"/>
      <c r="M342" s="31"/>
      <c r="N342" s="31"/>
      <c r="O342" s="1351"/>
      <c r="P342" s="1374">
        <v>11</v>
      </c>
      <c r="Q342" s="1375">
        <v>11</v>
      </c>
      <c r="R342" s="1351" t="b">
        <f>IF(AND(F342&gt;=P342,F342&lt;=Q342),TRUE,FALSE)</f>
        <v>0</v>
      </c>
      <c r="S342" s="1374">
        <v>11</v>
      </c>
      <c r="T342" s="1375">
        <v>11</v>
      </c>
      <c r="U342" s="1351" t="b">
        <f>IF(AND(F342&gt;=S342,F342&lt;=T342),TRUE,FALSE)</f>
        <v>0</v>
      </c>
      <c r="V342" s="807"/>
      <c r="W342" s="821"/>
      <c r="X342" s="822"/>
      <c r="Y342" s="821"/>
      <c r="Z342" s="822"/>
      <c r="AA342" s="821"/>
      <c r="AB342" s="822"/>
      <c r="AD342" s="10"/>
      <c r="AE342" s="10"/>
      <c r="AF342" s="10"/>
      <c r="AG342" s="832">
        <f>IF(K342=TRUE,H342,0)</f>
        <v>0</v>
      </c>
      <c r="AH342" s="832">
        <f>IF(R342=TRUE,H342,0)</f>
        <v>0</v>
      </c>
      <c r="AI342" s="832">
        <f>IF(U342=TRUE,H342,0)</f>
        <v>0</v>
      </c>
      <c r="AJ342" s="1490">
        <f t="shared" si="676"/>
        <v>0</v>
      </c>
      <c r="AK342" s="1490">
        <f t="shared" si="677"/>
        <v>0</v>
      </c>
      <c r="AL342" s="1490">
        <f t="shared" si="678"/>
        <v>0</v>
      </c>
      <c r="AM342" s="1490">
        <f t="shared" si="679"/>
        <v>0</v>
      </c>
      <c r="AN342" s="1490">
        <f t="shared" si="680"/>
        <v>0</v>
      </c>
      <c r="AO342" s="1490">
        <f t="shared" si="681"/>
        <v>0</v>
      </c>
      <c r="AV342" s="7"/>
      <c r="AX342" s="7"/>
      <c r="AY342" s="734"/>
      <c r="AZ342" s="734"/>
      <c r="BA342" s="87"/>
      <c r="BB342" s="442"/>
      <c r="BC342" s="89"/>
      <c r="BD342" s="446"/>
      <c r="BE342" s="446"/>
      <c r="BF342" s="89"/>
      <c r="BG342" s="447"/>
      <c r="BH342" s="447"/>
      <c r="BI342" s="443"/>
      <c r="BN342" s="25"/>
      <c r="BP342" s="7"/>
      <c r="BQ342" s="7"/>
      <c r="BR342" s="7"/>
      <c r="BS342" s="7"/>
      <c r="BT342" s="7"/>
      <c r="BU342" s="7"/>
      <c r="BV342" s="7"/>
      <c r="BW342" s="7"/>
      <c r="BX342" s="7"/>
      <c r="BY342" s="7"/>
      <c r="BZ342" s="7"/>
    </row>
    <row r="343" spans="1:78" ht="52" thickBot="1" x14ac:dyDescent="0.25">
      <c r="B343" s="1700"/>
      <c r="C343" s="716" t="s">
        <v>610</v>
      </c>
      <c r="D343" s="717" t="str">
        <f>_xlfn.XLOOKUP(H343,H341:H342,D341:D342)</f>
        <v>Arrive-t-il que le nouveau ou nouvelle conjoint·e interfère, écoute ou écourte vos conversations téléphoniques avec votre enfant ?</v>
      </c>
      <c r="E343" s="718" t="str">
        <f>_xlfn.XLOOKUP(H343,H341:H342,E341:E342)</f>
        <v>Le nouveau conjoint.e contrôle et écourte les conversations téléphoniques</v>
      </c>
      <c r="F343" s="719"/>
      <c r="G343" s="719"/>
      <c r="H343" s="713">
        <f>IF(AND(K341=TRUE,K342=FALSE),H341,IF(AND(K341=FALSE,K342=TRUE),H342,MAX(H341,H342)))</f>
        <v>14</v>
      </c>
      <c r="I343" s="1353"/>
      <c r="J343" s="720"/>
      <c r="K343" s="721" t="b">
        <f>IF(AND(K341=FALSE,K342=FALSE),FALSE,TRUE)</f>
        <v>1</v>
      </c>
      <c r="L343" s="31"/>
      <c r="M343" s="31"/>
      <c r="N343" s="31"/>
      <c r="O343" s="1351"/>
      <c r="P343" s="1353"/>
      <c r="Q343" s="720"/>
      <c r="R343" s="1366" t="b">
        <f>IF(AND(R341=FALSE,R342=FALSE),FALSE,TRUE)</f>
        <v>0</v>
      </c>
      <c r="S343" s="1353"/>
      <c r="T343" s="720"/>
      <c r="U343" s="1366" t="b">
        <f>IF(AND(U341=FALSE,U342=FALSE),FALSE,TRUE)</f>
        <v>1</v>
      </c>
      <c r="V343" s="807"/>
      <c r="W343" s="821"/>
      <c r="X343" s="822"/>
      <c r="Y343" s="821"/>
      <c r="Z343" s="822"/>
      <c r="AA343" s="821"/>
      <c r="AB343" s="822"/>
      <c r="AD343" s="10"/>
      <c r="AE343" s="10"/>
      <c r="AF343" s="10"/>
      <c r="AG343" s="1740">
        <f>IF($K343=TRUE,MAX(AG341:AG342),0)</f>
        <v>14</v>
      </c>
      <c r="AH343" s="1740">
        <f>IF($R343=TRUE,MAX(AH341:AH342),0)</f>
        <v>0</v>
      </c>
      <c r="AI343" s="1740">
        <f>IF($U343=TRUE,MAX(AI341:AI342),0)</f>
        <v>14</v>
      </c>
      <c r="AJ343" s="1739">
        <f>MAX(AJ341:AJ342)</f>
        <v>8</v>
      </c>
      <c r="AK343" s="1739">
        <f t="shared" ref="AK343" si="682">MAX(AK341:AK342)</f>
        <v>20</v>
      </c>
      <c r="AL343" s="1739">
        <f t="shared" ref="AL343" si="683">MAX(AL341:AL342)</f>
        <v>0</v>
      </c>
      <c r="AM343" s="1739">
        <f t="shared" ref="AM343" si="684">MAX(AM341:AM342)</f>
        <v>0</v>
      </c>
      <c r="AN343" s="1739">
        <f t="shared" ref="AN343" si="685">MAX(AN341:AN342)</f>
        <v>4</v>
      </c>
      <c r="AO343" s="1739">
        <f t="shared" ref="AO343" si="686">MAX(AO341:AO342)</f>
        <v>14</v>
      </c>
      <c r="AV343" s="7"/>
      <c r="AX343" s="7"/>
      <c r="AY343" s="734"/>
      <c r="AZ343" s="734"/>
      <c r="BA343" s="87"/>
      <c r="BB343" s="442"/>
      <c r="BC343" s="89"/>
      <c r="BD343" s="446"/>
      <c r="BE343" s="446"/>
      <c r="BF343" s="89"/>
      <c r="BG343" s="447"/>
      <c r="BH343" s="447"/>
      <c r="BI343" s="443"/>
      <c r="BN343" s="25"/>
      <c r="BP343" s="7"/>
      <c r="BQ343" s="7"/>
      <c r="BR343" s="7"/>
      <c r="BS343" s="7"/>
      <c r="BT343" s="7"/>
      <c r="BU343" s="7"/>
      <c r="BV343" s="7"/>
      <c r="BW343" s="7"/>
      <c r="BX343" s="7"/>
      <c r="BY343" s="7"/>
      <c r="BZ343" s="7"/>
    </row>
    <row r="344" spans="1:78" ht="52" thickBot="1" x14ac:dyDescent="0.25">
      <c r="B344" s="1700"/>
      <c r="C344" s="722" t="s">
        <v>616</v>
      </c>
      <c r="D344" s="723"/>
      <c r="E344" s="723" t="str">
        <f>IF(H344=H340,E340,E343)</f>
        <v>Le nouveau conjoint.e contrôle et écourte les conversations téléphoniques</v>
      </c>
      <c r="F344" s="724"/>
      <c r="G344" s="724"/>
      <c r="H344" s="724">
        <f>IF(AND(K340=TRUE,K343=FALSE),H340,IF(AND(K340=FALSE,K343=TRUE),H343,IF(AND(K340=TRUE,K343=TRUE),H340+H343,MAX(H340,H343))))</f>
        <v>28</v>
      </c>
      <c r="I344" s="1354"/>
      <c r="J344" s="725"/>
      <c r="K344" s="726" t="b">
        <f>IF(AND(K340=FALSE,K343=FALSE),FALSE,TRUE)</f>
        <v>1</v>
      </c>
      <c r="L344" s="1338"/>
      <c r="M344" s="1338"/>
      <c r="N344" s="1338"/>
      <c r="O344" s="1355"/>
      <c r="P344" s="1354"/>
      <c r="Q344" s="725"/>
      <c r="R344" s="726" t="b">
        <f>IF(AND(R340=FALSE,R343=FALSE),FALSE,TRUE)</f>
        <v>0</v>
      </c>
      <c r="S344" s="1354"/>
      <c r="T344" s="725"/>
      <c r="U344" s="726" t="b">
        <f>IF(AND(U340=FALSE,U343=FALSE),FALSE,TRUE)</f>
        <v>1</v>
      </c>
      <c r="V344" s="807"/>
      <c r="W344" s="821" t="str">
        <f>IF(K344=TRUE,"V","F")</f>
        <v>V</v>
      </c>
      <c r="X344" s="822"/>
      <c r="Y344" s="821" t="str">
        <f>IF(R344=TRUE,"V","F")</f>
        <v>F</v>
      </c>
      <c r="Z344" s="822"/>
      <c r="AA344" s="821" t="str">
        <f>IF(U344=TRUE,"V","F")</f>
        <v>V</v>
      </c>
      <c r="AB344" s="822"/>
      <c r="AC344" t="str">
        <f>IF(OR(W344="V",Y344="V"),IF(H343&gt;H340,"Le NC contribue plus que le coparent","Le coparent joue un plus grand rôle que le NC"),"pas de contexte significatif de la part du coparent et NC")</f>
        <v>Le coparent joue un plus grand rôle que le NC</v>
      </c>
      <c r="AD344" s="10"/>
      <c r="AE344" s="10"/>
      <c r="AF344" s="10"/>
      <c r="AG344" s="591">
        <f>IF(AND($K340=TRUE,$K343=FALSE),AG340,IF(AND($K340=FALSE,$K343=TRUE),AG343,IF(AND($K340=TRUE,$K343=TRUE),AG340+AG343,0)))</f>
        <v>28</v>
      </c>
      <c r="AH344" s="591">
        <f>IF(AND($R340=TRUE,$R343=FALSE),AH340,IF(AND($R340=FALSE,$R343=TRUE),AH343,IF(AND($R340=TRUE,$R343=TRUE),AH340+AH343,0)))</f>
        <v>0</v>
      </c>
      <c r="AI344" s="591">
        <f>IF(AND($U340=TRUE,$U343=FALSE),AI340,IF(AND($U340=FALSE,$U343=TRUE),AI343,IF(AND($U340=TRUE,$U343=TRUE),AI340+AI343,0)))</f>
        <v>28</v>
      </c>
      <c r="AJ344" s="591">
        <f>IF(AND($K340=TRUE,$K343=FALSE),AJ340,IF(AND($K340=FALSE,$K343=TRUE),AJ343,IF(AND($K340=TRUE,$K343=TRUE),AJ340+AJ343,MAX(AJ340,AJ343))))</f>
        <v>16</v>
      </c>
      <c r="AK344" s="591">
        <f>IF(AND($K340=TRUE,$K343=FALSE),AK340,IF(AND($K340=FALSE,$K343=TRUE),AK343,IF(AND($K340=TRUE,$K343=TRUE),AK340+AK343,MAX(AK340,AK343))))</f>
        <v>40</v>
      </c>
      <c r="AL344" s="591">
        <f t="shared" ref="AL344" si="687">IF(AND($R340=TRUE,$R343=FALSE),AL340,IF(AND($R340=FALSE,$R343=TRUE),AL343,IF(AND($R340=TRUE,$R343=TRUE),AL340+AL343,MAX(AL340,AL343))))</f>
        <v>0</v>
      </c>
      <c r="AM344" s="591">
        <f t="shared" ref="AM344" si="688">IF(AND($R340=TRUE,$R343=FALSE),AM340,IF(AND($R340=FALSE,$R343=TRUE),AM343,IF(AND($R340=TRUE,$R343=TRUE),AM340+AM343,MAX(AM340,AM343))))</f>
        <v>0</v>
      </c>
      <c r="AN344" s="591">
        <f t="shared" ref="AN344" si="689">IF(AND($U340=TRUE,$U343=FALSE),AN340,IF(AND($U340=FALSE,$U343=TRUE),AN343,IF(AND($U340=TRUE,$U343=TRUE),AN340+AN343,MAX(AN340,AN343))))</f>
        <v>12</v>
      </c>
      <c r="AO344" s="591">
        <f t="shared" ref="AO344" si="690">IF(AND($U340=TRUE,$U343=FALSE),AO340,IF(AND($U340=FALSE,$U343=TRUE),AO343,IF(AND($U340=TRUE,$U343=TRUE),AO340+AO343,MAX(AO340,AO343))))</f>
        <v>28</v>
      </c>
      <c r="AV344" s="7"/>
      <c r="AX344" s="7"/>
      <c r="AY344" s="734"/>
      <c r="AZ344" s="734"/>
      <c r="BA344" s="87"/>
      <c r="BB344" s="442"/>
      <c r="BC344" s="89"/>
      <c r="BD344" s="446"/>
      <c r="BE344" s="446"/>
      <c r="BF344" s="89"/>
      <c r="BG344" s="447"/>
      <c r="BH344" s="447"/>
      <c r="BI344" s="443"/>
      <c r="BN344" s="25"/>
      <c r="BP344" s="7"/>
      <c r="BQ344" s="7"/>
      <c r="BR344" s="7"/>
      <c r="BS344" s="7"/>
      <c r="BT344" s="7"/>
      <c r="BU344" s="7"/>
      <c r="BV344" s="7"/>
      <c r="BW344" s="7"/>
      <c r="BX344" s="7"/>
      <c r="BY344" s="7"/>
      <c r="BZ344" s="7"/>
    </row>
    <row r="345" spans="1:78" ht="48" x14ac:dyDescent="0.2">
      <c r="A345" t="str">
        <f>IF(Test_Bible!B299="","F","O")</f>
        <v>O</v>
      </c>
      <c r="B345" s="1700" t="str">
        <f>'Cpts AR +indép + Sommaire'!S51</f>
        <v>Interférence temps ou communication</v>
      </c>
      <c r="C345" s="287" t="str">
        <f>'Cpts AR +indép + Sommaire'!O51</f>
        <v>E18</v>
      </c>
      <c r="D345" s="25" t="str">
        <f>'Cpts AR +indép + Sommaire'!P51</f>
        <v>Votre enfant répond à vos messages lorsqu’il est chez l’autre parent (tél., textos, réseaux sociaux, etc.).</v>
      </c>
      <c r="E345" s="78" t="s">
        <v>643</v>
      </c>
      <c r="F345" s="709">
        <f>'Cpts AR +indép + Sommaire'!Q51</f>
        <v>2</v>
      </c>
      <c r="G345" s="709">
        <f>'Cpts AR +indép + Sommaire'!R51</f>
        <v>2</v>
      </c>
      <c r="H345" s="709">
        <f>F345*G345</f>
        <v>4</v>
      </c>
      <c r="I345" s="1350">
        <v>7</v>
      </c>
      <c r="J345" s="1343">
        <v>10</v>
      </c>
      <c r="K345" s="31" t="b">
        <f>IF(AND(F345&gt;=I345,F345&lt;=J345),TRUE,FALSE)</f>
        <v>0</v>
      </c>
      <c r="L345" s="31"/>
      <c r="M345" s="31"/>
      <c r="N345" s="31"/>
      <c r="O345" s="1351"/>
      <c r="P345" s="1350">
        <v>4</v>
      </c>
      <c r="Q345" s="1343">
        <v>7</v>
      </c>
      <c r="R345" s="1351" t="b">
        <f>IF(AND(F345&gt;=P345,F345&lt;=Q345),TRUE,FALSE)</f>
        <v>0</v>
      </c>
      <c r="S345" s="1350"/>
      <c r="T345" s="1343"/>
      <c r="U345" s="1351"/>
      <c r="V345" s="807"/>
      <c r="W345" s="821" t="s">
        <v>753</v>
      </c>
      <c r="X345" s="822"/>
      <c r="Y345" s="821"/>
      <c r="Z345" s="822"/>
      <c r="AA345" s="821"/>
      <c r="AB345" s="822"/>
      <c r="AD345" s="10"/>
      <c r="AE345" s="10"/>
      <c r="AF345" s="10"/>
      <c r="AG345" s="832">
        <f>IF($K345=TRUE,H345,0)</f>
        <v>0</v>
      </c>
      <c r="AH345" s="832">
        <f>IF($R345=TRUE,H345,0)</f>
        <v>0</v>
      </c>
      <c r="AI345" s="832"/>
      <c r="AJ345" s="1490">
        <f t="shared" ref="AJ345:AJ346" si="691">IF(OR(I345=11,A345="F"),0,G345*I345)</f>
        <v>14</v>
      </c>
      <c r="AK345" s="1490">
        <f t="shared" ref="AK345:AK346" si="692">IF(OR(J345=11,A345="F"),0,G345*J345)</f>
        <v>20</v>
      </c>
      <c r="AL345" s="1490">
        <f t="shared" ref="AL345:AL346" si="693">IF(OR(P345=11,A345="F"),0,G345*P345)</f>
        <v>8</v>
      </c>
      <c r="AM345" s="1490">
        <f t="shared" ref="AM345:AM346" si="694">IF(OR(Q345=11,A345="F"),0,G345*Q345)</f>
        <v>14</v>
      </c>
      <c r="AN345" s="1490">
        <f t="shared" ref="AN345:AN346" si="695">IF(OR(S345=11,A345="F"),0,S345*G345)</f>
        <v>0</v>
      </c>
      <c r="AO345" s="1490">
        <f t="shared" ref="AO345:AO346" si="696">IF(OR(T345=11,A345="F"),0,T345*G345)</f>
        <v>0</v>
      </c>
      <c r="AV345" s="7"/>
      <c r="AX345" s="7"/>
      <c r="AY345" s="734"/>
      <c r="AZ345" s="734"/>
      <c r="BA345" s="87"/>
      <c r="BB345" s="442"/>
      <c r="BC345" s="89"/>
      <c r="BD345" s="446"/>
      <c r="BE345" s="446"/>
      <c r="BF345" s="89"/>
      <c r="BG345" s="447"/>
      <c r="BH345" s="447"/>
      <c r="BI345" s="443"/>
      <c r="BN345" s="25"/>
      <c r="BP345" s="7"/>
      <c r="BQ345" s="7"/>
      <c r="BR345" s="7"/>
      <c r="BS345" s="7"/>
      <c r="BT345" s="7"/>
      <c r="BU345" s="7"/>
      <c r="BV345" s="7"/>
      <c r="BW345" s="7"/>
      <c r="BX345" s="7"/>
      <c r="BY345" s="7"/>
      <c r="BZ345" s="7"/>
    </row>
    <row r="346" spans="1:78" ht="35" thickBot="1" x14ac:dyDescent="0.25">
      <c r="A346" t="str">
        <f>IF(Test_Bible!B329="","F","O")</f>
        <v>O</v>
      </c>
      <c r="B346" s="1700"/>
      <c r="C346" s="287" t="str">
        <f>'Cpts AR +indép + Sommaire'!O52</f>
        <v>E34</v>
      </c>
      <c r="D346" s="25" t="str">
        <f>'Cpts AR +indép + Sommaire'!P52</f>
        <v xml:space="preserve">Votre enfant bloque les communications (tél., textos, réseaux sociaux, etc.). </v>
      </c>
      <c r="E346" s="78" t="s">
        <v>1830</v>
      </c>
      <c r="F346" s="709">
        <f>'Cpts AR +indép + Sommaire'!Q52</f>
        <v>2</v>
      </c>
      <c r="G346" s="709">
        <f>'Cpts AR +indép + Sommaire'!R52</f>
        <v>3</v>
      </c>
      <c r="H346" s="709">
        <f>F346*G346</f>
        <v>6</v>
      </c>
      <c r="I346" s="1350">
        <v>4</v>
      </c>
      <c r="J346" s="1343">
        <v>10</v>
      </c>
      <c r="K346" s="31" t="b">
        <f>IF(AND(F346&gt;=I346,F346&lt;=J346),TRUE,FALSE)</f>
        <v>0</v>
      </c>
      <c r="L346" s="31"/>
      <c r="M346" s="31"/>
      <c r="N346" s="31"/>
      <c r="O346" s="1351"/>
      <c r="P346" s="1374">
        <v>11</v>
      </c>
      <c r="Q346" s="1375">
        <v>11</v>
      </c>
      <c r="R346" s="1351" t="b">
        <f>IF(AND(F346&gt;=P346,F346&lt;=Q346),TRUE,FALSE)</f>
        <v>0</v>
      </c>
      <c r="S346" s="1374"/>
      <c r="T346" s="1375"/>
      <c r="U346" s="1351"/>
      <c r="V346" s="807"/>
      <c r="W346" s="821"/>
      <c r="X346" s="822"/>
      <c r="Y346" s="821"/>
      <c r="Z346" s="822"/>
      <c r="AA346" s="821"/>
      <c r="AB346" s="822"/>
      <c r="AD346" s="10"/>
      <c r="AE346" s="10"/>
      <c r="AF346" s="10"/>
      <c r="AG346" s="832">
        <f>IF($K346=TRUE,H346,0)</f>
        <v>0</v>
      </c>
      <c r="AH346" s="832">
        <f>IF($R346=TRUE,H346,0)</f>
        <v>0</v>
      </c>
      <c r="AI346" s="832"/>
      <c r="AJ346" s="1490">
        <f t="shared" si="691"/>
        <v>12</v>
      </c>
      <c r="AK346" s="1490">
        <f t="shared" si="692"/>
        <v>30</v>
      </c>
      <c r="AL346" s="1490">
        <f t="shared" si="693"/>
        <v>0</v>
      </c>
      <c r="AM346" s="1490">
        <f t="shared" si="694"/>
        <v>0</v>
      </c>
      <c r="AN346" s="1490">
        <f t="shared" si="695"/>
        <v>0</v>
      </c>
      <c r="AO346" s="1490">
        <f t="shared" si="696"/>
        <v>0</v>
      </c>
      <c r="AV346" s="7"/>
      <c r="AX346" s="7"/>
      <c r="AY346" s="734"/>
      <c r="AZ346" s="734"/>
      <c r="BA346" s="87"/>
      <c r="BB346" s="442"/>
      <c r="BC346" s="89"/>
      <c r="BD346" s="446"/>
      <c r="BE346" s="446"/>
      <c r="BF346" s="89"/>
      <c r="BG346" s="447"/>
      <c r="BH346" s="447"/>
      <c r="BI346" s="443"/>
      <c r="BN346" s="25"/>
      <c r="BP346" s="7"/>
      <c r="BQ346" s="7"/>
      <c r="BR346" s="7"/>
      <c r="BS346" s="7"/>
      <c r="BT346" s="7"/>
      <c r="BU346" s="7"/>
      <c r="BV346" s="7"/>
      <c r="BW346" s="7"/>
      <c r="BX346" s="7"/>
      <c r="BY346" s="7"/>
      <c r="BZ346" s="7"/>
    </row>
    <row r="347" spans="1:78" ht="35" thickBot="1" x14ac:dyDescent="0.25">
      <c r="B347" s="1700"/>
      <c r="C347" s="727" t="s">
        <v>611</v>
      </c>
      <c r="D347" s="728" t="str">
        <f>_xlfn.XLOOKUP(H347,H345:H346,D345:D346)</f>
        <v xml:space="preserve">Votre enfant bloque les communications (tél., textos, réseaux sociaux, etc.). </v>
      </c>
      <c r="E347" s="728" t="str">
        <f>_xlfn.XLOOKUP(H347,H345:H346,E345:E346)</f>
        <v>bloque les communications</v>
      </c>
      <c r="F347" s="729"/>
      <c r="G347" s="729"/>
      <c r="H347" s="729">
        <f>IF(AND(K345=TRUE,K346=FALSE),H345,IF(AND(K345=FALSE,K346=TRUE),H346,MAX(H345,H346)))</f>
        <v>6</v>
      </c>
      <c r="I347" s="1356"/>
      <c r="J347" s="730"/>
      <c r="K347" s="731" t="b">
        <f>IF(AND(K345=FALSE,K346=FALSE),FALSE,TRUE)</f>
        <v>0</v>
      </c>
      <c r="L347" s="1339"/>
      <c r="M347" s="1339"/>
      <c r="N347" s="1339"/>
      <c r="O347" s="1357"/>
      <c r="P347" s="1356"/>
      <c r="Q347" s="730"/>
      <c r="R347" s="731" t="b">
        <f>IF(AND(R345=FALSE,R346=FALSE),FALSE,TRUE)</f>
        <v>0</v>
      </c>
      <c r="S347" s="1356"/>
      <c r="T347" s="730"/>
      <c r="U347" s="731"/>
      <c r="V347" s="807"/>
      <c r="W347" s="821" t="str">
        <f>IF(K347=TRUE,"V","F")</f>
        <v>F</v>
      </c>
      <c r="X347" s="822"/>
      <c r="Y347" s="821" t="str">
        <f>IF(R347=TRUE,"V","F")</f>
        <v>F</v>
      </c>
      <c r="Z347" s="822"/>
      <c r="AA347" s="821"/>
      <c r="AB347" s="822"/>
      <c r="AD347" s="10"/>
      <c r="AE347" s="10"/>
      <c r="AF347" s="10"/>
      <c r="AG347" s="1742">
        <f>IF(AND($K345=TRUE,$K346=FALSE),AG345,IF(AND($K345=FALSE,$K346=TRUE),AG346,IF(AND($K345=TRUE,$K346=TRUE),MAX(AG345,AG346),0)))</f>
        <v>0</v>
      </c>
      <c r="AH347" s="1742">
        <f>IF(AND($R345=TRUE,$R346=FALSE),AH345,IF(AND($R345=FALSE,$R346=TRUE),AH346,IF(AND($R345=TRUE,$R346=TRUE),MAX(AH345,AH346),0)))</f>
        <v>0</v>
      </c>
      <c r="AI347" s="1742"/>
      <c r="AJ347" s="1742">
        <f>IF(AND($K345=TRUE,$K346=FALSE),AJ345,IF(AND($K345=FALSE,$K346=TRUE),AJ346,IF(AND($K345=TRUE,$K346=TRUE),MAX(AJ345,AJ346),0)))</f>
        <v>0</v>
      </c>
      <c r="AK347" s="1742">
        <f>IF(AND($K345=TRUE,$K346=FALSE),AK345,IF(AND($K345=FALSE,$K346=TRUE),AK346,IF(AND($K345=TRUE,$K346=TRUE),MAX(AK345,AK346),0)))</f>
        <v>0</v>
      </c>
      <c r="AL347" s="1742">
        <f t="shared" ref="AL347" si="697">IF(AND($R345=TRUE,$R346=FALSE),AL345,IF(AND($R345=FALSE,$R346=TRUE),AL346,IF(AND($R345=TRUE,$R346=TRUE),MAX(AL345,AL346),0)))</f>
        <v>0</v>
      </c>
      <c r="AM347" s="1742">
        <f t="shared" ref="AM347" si="698">IF(AND($R345=TRUE,$R346=FALSE),AM345,IF(AND($R345=FALSE,$R346=TRUE),AM346,IF(AND($R345=TRUE,$R346=TRUE),MAX(AM345,AM346),0)))</f>
        <v>0</v>
      </c>
      <c r="AN347" s="1742"/>
      <c r="AO347" s="1742"/>
      <c r="AY347" s="734"/>
      <c r="AZ347" s="734"/>
      <c r="BA347" s="87"/>
      <c r="BB347" s="442"/>
      <c r="BC347" s="89"/>
      <c r="BD347" s="446"/>
      <c r="BE347" s="446"/>
      <c r="BF347" s="89"/>
      <c r="BG347" s="447"/>
      <c r="BH347" s="447"/>
      <c r="BI347" s="443"/>
    </row>
    <row r="348" spans="1:78" ht="68" x14ac:dyDescent="0.2">
      <c r="B348" s="1700"/>
      <c r="D348" s="386" t="s">
        <v>273</v>
      </c>
      <c r="E348" s="705"/>
      <c r="F348" s="439" t="s">
        <v>349</v>
      </c>
      <c r="G348" s="33"/>
      <c r="H348" s="33">
        <f>IF(AND(K344=TRUE,K347=FALSE),H344,IF(AND(K344=FALSE,K347=TRUE),H347,IF(AND(K344=TRUE,K347=TRUE),H344+H347,MAX(H344,H347))))</f>
        <v>28</v>
      </c>
      <c r="I348" s="1358"/>
      <c r="J348" s="440"/>
      <c r="K348" s="1341"/>
      <c r="L348" s="1342" t="str">
        <f>IF(AND(K347=TRUE,K344=TRUE),E347,"")</f>
        <v/>
      </c>
      <c r="M348" s="1342" t="str">
        <f>IF(AND(K344=TRUE,K347=FALSE),"Bien que le parent "&amp;E344&amp;" l'enfant ne semble pas s'ingérer","")</f>
        <v>Bien que le parent Le nouveau conjoint.e contrôle et écourte les conversations téléphoniques l'enfant ne semble pas s'ingérer</v>
      </c>
      <c r="N348" s="1342" t="str">
        <f>IF(AND(K344=FALSE,K347=TRUE),E347&amp;" sans signe de la participation du parent favorisé et|ou nouveau conjoint.e","")</f>
        <v/>
      </c>
      <c r="O348" s="1359" t="str">
        <f>IF(AND(K344=FALSE,K347=FALSE),"aucun comportement significatif de cette nature","")</f>
        <v/>
      </c>
      <c r="P348" s="1358"/>
      <c r="Q348" s="440"/>
      <c r="R348" s="1367"/>
      <c r="S348" s="1358"/>
      <c r="T348" s="440"/>
      <c r="U348" s="1367"/>
      <c r="V348" s="145"/>
      <c r="W348" s="823"/>
      <c r="X348" s="824">
        <f>IF(AND(W344="V",W347="V"),2,IF(OR(W344="V",W347="V"),1,0))</f>
        <v>1</v>
      </c>
      <c r="Y348" s="823"/>
      <c r="Z348" s="824">
        <f>IF(OR(Y344="V",Y347="V"),1,0)</f>
        <v>0</v>
      </c>
      <c r="AA348" s="823"/>
      <c r="AB348" s="824"/>
      <c r="AD348" s="10"/>
      <c r="AE348" s="10"/>
      <c r="AF348" s="10"/>
      <c r="AG348" s="1738">
        <f>IF(AND($W344="V",$W347="F"),AG344,IF(AND($W344="F",$W347="V"),AG347,IF(AND($W344="V",$W347="V"),AG344+AG347,0)))</f>
        <v>28</v>
      </c>
      <c r="AH348" s="1738">
        <f>IF(AND($Y344="V",$Y347="F"),AH344,IF(AND($Y344="F",$Y347="V"),AH347,IF(AND($Y344="V",$Y347="V"),AH344+AH347,0)))</f>
        <v>0</v>
      </c>
      <c r="AI348" s="1738"/>
      <c r="AJ348" s="1738">
        <f>IF(AND($W344="V",$W347="F"),AJ344,IF(AND($W344="F",$W347="V"),AJ347,IF(AND($W344="V",$W347="V"),AJ344+AJ347,0)))</f>
        <v>16</v>
      </c>
      <c r="AK348" s="1738">
        <f>IF(AND($W344="V",$W347="F"),AK344,IF(AND($W344="F",$W347="V"),AK347,IF(AND($W344="V",$W347="V"),AK344+AK347,0)))</f>
        <v>40</v>
      </c>
      <c r="AL348" s="1738">
        <f>IF(AND($Y344="V",$Y347="F"),AL344,IF(AND($Y344="F",$Y347="V"),AL347,IF(AND($Y344="V",$Y347="V"),AL344+AL347,0)))</f>
        <v>0</v>
      </c>
      <c r="AM348" s="1738">
        <f>IF(AND($Y344="V",$Y347="F"),AM344,IF(AND($Y344="F",$Y347="V"),AM347,IF(AND($Y344="V",$Y347="V"),AM344+AM347,0)))</f>
        <v>0</v>
      </c>
      <c r="AN348" s="1738"/>
      <c r="AO348" s="1738"/>
      <c r="AY348" s="734"/>
      <c r="AZ348" s="734"/>
      <c r="BA348" s="87"/>
      <c r="BB348" s="442"/>
      <c r="BC348" s="89"/>
      <c r="BD348" s="446"/>
      <c r="BE348" s="446"/>
      <c r="BF348" s="89"/>
      <c r="BG348" s="447"/>
      <c r="BH348" s="447"/>
      <c r="BI348" s="443"/>
    </row>
    <row r="349" spans="1:78" ht="19" x14ac:dyDescent="0.2">
      <c r="B349" s="1700"/>
      <c r="C349" t="s">
        <v>238</v>
      </c>
      <c r="I349" s="122"/>
      <c r="L349" s="32"/>
      <c r="M349" s="32"/>
      <c r="N349" s="32"/>
      <c r="O349" s="1379"/>
      <c r="P349" s="122"/>
      <c r="R349" s="292"/>
      <c r="S349" s="122"/>
      <c r="U349" s="292"/>
      <c r="V349" s="32"/>
      <c r="W349" s="821"/>
      <c r="X349" s="822"/>
      <c r="Y349" s="821"/>
      <c r="Z349" s="822"/>
      <c r="AA349" s="821"/>
      <c r="AB349" s="822"/>
      <c r="AD349" s="10"/>
      <c r="AE349" s="10"/>
      <c r="AF349" s="10"/>
      <c r="AG349" s="832"/>
      <c r="AH349" s="832"/>
      <c r="AI349" s="832"/>
      <c r="AJ349" s="1490"/>
      <c r="AK349" s="1490"/>
      <c r="AL349" s="1490"/>
      <c r="AM349" s="1490"/>
      <c r="AN349" s="1490"/>
      <c r="AO349" s="1490"/>
      <c r="AY349" s="734"/>
      <c r="AZ349" s="734"/>
      <c r="BA349" s="87"/>
      <c r="BB349" s="442"/>
      <c r="BC349" s="89"/>
      <c r="BD349" s="446"/>
      <c r="BE349" s="446"/>
      <c r="BF349" s="89"/>
      <c r="BG349" s="447"/>
      <c r="BH349" s="447"/>
      <c r="BI349" s="443"/>
    </row>
    <row r="350" spans="1:78" ht="19" x14ac:dyDescent="0.2">
      <c r="B350" s="1700"/>
      <c r="C350" s="825"/>
      <c r="D350" s="829"/>
      <c r="E350" s="826"/>
      <c r="F350" s="830"/>
      <c r="G350" s="830"/>
      <c r="H350" s="830">
        <f>F350*G350</f>
        <v>0</v>
      </c>
      <c r="I350" s="1374">
        <v>11</v>
      </c>
      <c r="J350" s="1375">
        <v>11</v>
      </c>
      <c r="K350" s="31" t="b">
        <f>IF(AND(F350&gt;=I350,F350&lt;=J350),TRUE,FALSE)</f>
        <v>0</v>
      </c>
      <c r="L350" s="26"/>
      <c r="M350" s="26"/>
      <c r="N350" s="26"/>
      <c r="O350" s="1360"/>
      <c r="P350" s="1374">
        <v>11</v>
      </c>
      <c r="Q350" s="1375">
        <v>11</v>
      </c>
      <c r="R350" s="1351" t="b">
        <f>IF(AND(F350&gt;=P350,F350&lt;=Q350),TRUE,FALSE)</f>
        <v>0</v>
      </c>
      <c r="S350" s="1374">
        <v>11</v>
      </c>
      <c r="T350" s="1375">
        <v>11</v>
      </c>
      <c r="U350" s="1351" t="b">
        <f>IF(AND(F350&gt;=S350,F350&lt;=T350),TRUE,FALSE)</f>
        <v>0</v>
      </c>
      <c r="V350" s="32"/>
      <c r="W350" s="821"/>
      <c r="X350" s="822"/>
      <c r="Y350" s="821"/>
      <c r="Z350" s="822"/>
      <c r="AA350" s="821"/>
      <c r="AB350" s="822"/>
      <c r="AD350" s="10"/>
      <c r="AE350" s="10"/>
      <c r="AF350" s="10"/>
      <c r="AG350" s="832">
        <f>IF($K350=TRUE,H350,0)</f>
        <v>0</v>
      </c>
      <c r="AH350" s="832">
        <f>IF($R350=TRUE,H350,0)</f>
        <v>0</v>
      </c>
      <c r="AI350" s="832">
        <f>IF($U350=TRUE,H350,0)</f>
        <v>0</v>
      </c>
      <c r="AJ350" s="1490">
        <f t="shared" ref="AJ350:AJ351" si="699">IF(OR(I350=11,A350="F"),0,G350*I350)</f>
        <v>0</v>
      </c>
      <c r="AK350" s="1490">
        <f t="shared" ref="AK350:AK351" si="700">IF(OR(J350=11,A350="F"),0,G350*J350)</f>
        <v>0</v>
      </c>
      <c r="AL350" s="1490">
        <f t="shared" ref="AL350:AL351" si="701">IF(OR(P350=11,A350="F"),0,G350*P350)</f>
        <v>0</v>
      </c>
      <c r="AM350" s="1490">
        <f t="shared" ref="AM350:AM351" si="702">IF(OR(Q350=11,A350="F"),0,G350*Q350)</f>
        <v>0</v>
      </c>
      <c r="AN350" s="1490">
        <f t="shared" ref="AN350:AN351" si="703">IF(OR(S350=11,A350="F"),0,S350*G350)</f>
        <v>0</v>
      </c>
      <c r="AO350" s="1490">
        <f t="shared" ref="AO350:AO351" si="704">IF(OR(T350=11,A350="F"),0,T350*G350)</f>
        <v>0</v>
      </c>
      <c r="AY350" s="734"/>
      <c r="AZ350" s="734"/>
      <c r="BA350" s="87"/>
      <c r="BB350" s="442"/>
      <c r="BC350" s="89"/>
      <c r="BD350" s="446"/>
      <c r="BE350" s="446"/>
      <c r="BF350" s="89"/>
      <c r="BG350" s="447"/>
      <c r="BH350" s="447"/>
      <c r="BI350" s="443"/>
    </row>
    <row r="351" spans="1:78" ht="20" thickBot="1" x14ac:dyDescent="0.25">
      <c r="B351" s="1700"/>
      <c r="C351" s="825"/>
      <c r="D351" s="829"/>
      <c r="E351" s="826"/>
      <c r="F351" s="830"/>
      <c r="G351" s="830"/>
      <c r="H351" s="830">
        <f>F351*G351</f>
        <v>0</v>
      </c>
      <c r="I351" s="1374">
        <v>11</v>
      </c>
      <c r="J351" s="1375">
        <v>11</v>
      </c>
      <c r="K351" s="31" t="b">
        <f>IF(AND(F351&gt;=I351,F351&lt;=J351),TRUE,FALSE)</f>
        <v>0</v>
      </c>
      <c r="L351" s="26"/>
      <c r="M351" s="26"/>
      <c r="N351" s="26"/>
      <c r="O351" s="1360"/>
      <c r="P351" s="1374">
        <v>11</v>
      </c>
      <c r="Q351" s="1375">
        <v>11</v>
      </c>
      <c r="R351" s="1351" t="b">
        <f>IF(AND(F351&gt;=P351,F351&lt;=Q351),TRUE,FALSE)</f>
        <v>0</v>
      </c>
      <c r="S351" s="1374">
        <v>11</v>
      </c>
      <c r="T351" s="1375">
        <v>11</v>
      </c>
      <c r="U351" s="1351" t="b">
        <f>IF(AND(F351&gt;=S351,F351&lt;=T351),TRUE,FALSE)</f>
        <v>0</v>
      </c>
      <c r="W351" s="821"/>
      <c r="X351" s="822"/>
      <c r="Y351" s="821"/>
      <c r="Z351" s="822"/>
      <c r="AA351" s="821"/>
      <c r="AB351" s="822"/>
      <c r="AD351" s="10"/>
      <c r="AE351" s="10"/>
      <c r="AF351" s="10"/>
      <c r="AG351" s="832">
        <f>IF($K351=TRUE,H351,0)</f>
        <v>0</v>
      </c>
      <c r="AH351" s="832">
        <f>IF($R351=TRUE,H351,0)</f>
        <v>0</v>
      </c>
      <c r="AI351" s="832">
        <f>IF($U351=TRUE,H351,0)</f>
        <v>0</v>
      </c>
      <c r="AJ351" s="1490">
        <f t="shared" si="699"/>
        <v>0</v>
      </c>
      <c r="AK351" s="1490">
        <f t="shared" si="700"/>
        <v>0</v>
      </c>
      <c r="AL351" s="1490">
        <f t="shared" si="701"/>
        <v>0</v>
      </c>
      <c r="AM351" s="1490">
        <f t="shared" si="702"/>
        <v>0</v>
      </c>
      <c r="AN351" s="1490">
        <f t="shared" si="703"/>
        <v>0</v>
      </c>
      <c r="AO351" s="1490">
        <f t="shared" si="704"/>
        <v>0</v>
      </c>
      <c r="AY351" s="734"/>
      <c r="AZ351" s="734"/>
      <c r="BA351" s="87"/>
      <c r="BB351" s="442"/>
      <c r="BC351" s="89"/>
      <c r="BD351" s="446"/>
      <c r="BE351" s="446"/>
      <c r="BF351" s="89"/>
      <c r="BG351" s="447"/>
      <c r="BH351" s="447"/>
      <c r="BI351" s="443"/>
    </row>
    <row r="352" spans="1:78" ht="22" thickBot="1" x14ac:dyDescent="0.25">
      <c r="B352" s="1700"/>
      <c r="C352" s="7"/>
      <c r="D352" s="272"/>
      <c r="E352" s="272"/>
      <c r="F352" s="67"/>
      <c r="G352" s="16"/>
      <c r="H352" s="33">
        <f>IF(AND(K350=TRUE,K351=FALSE),H350,IF(AND(K350=FALSE,K351=TRUE),H351,MAX(H350,H351)))</f>
        <v>0</v>
      </c>
      <c r="I352" s="1371"/>
      <c r="J352" s="1372"/>
      <c r="K352" s="1378" t="b">
        <f>IF(AND(K350=FALSE,K351=FALSE),FALSE,TRUE)</f>
        <v>0</v>
      </c>
      <c r="L352" s="1361"/>
      <c r="M352" s="1362"/>
      <c r="N352" s="1362"/>
      <c r="O352" s="1363"/>
      <c r="P352" s="1371"/>
      <c r="Q352" s="1372"/>
      <c r="R352" s="1378" t="b">
        <f>IF(AND(R350=FALSE,R351=FALSE),FALSE,TRUE)</f>
        <v>0</v>
      </c>
      <c r="S352" s="1383"/>
      <c r="T352" s="1384"/>
      <c r="U352" s="1385" t="b">
        <f>IF(AND(U350=FALSE,U351=FALSE),FALSE,TRUE)</f>
        <v>0</v>
      </c>
      <c r="W352" s="1315" t="str">
        <f>IF(K352=TRUE,"V","F")</f>
        <v>F</v>
      </c>
      <c r="X352" s="1316"/>
      <c r="Y352" s="1315" t="str">
        <f>IF(R352=TRUE,"V","F")</f>
        <v>F</v>
      </c>
      <c r="Z352" s="1316"/>
      <c r="AA352" s="1315" t="str">
        <f>IF(U352=TRUE,"V","F")</f>
        <v>F</v>
      </c>
      <c r="AB352" s="1316"/>
      <c r="AD352" s="10"/>
      <c r="AE352" s="10"/>
      <c r="AF352" s="10"/>
      <c r="AG352" s="1742">
        <f>IF(AND($K350=TRUE,$K351=FALSE),AG350,IF(AND($K350=FALSE,$K351=TRUE),AG351,MAX(AG350,AG351)))</f>
        <v>0</v>
      </c>
      <c r="AH352" s="1742">
        <f>IF(AND($R350=TRUE,$R351=FALSE),AH350,IF(AND($R350=FALSE,$R351=TRUE),AH351,MAX(AH350,AH351)))</f>
        <v>0</v>
      </c>
      <c r="AI352" s="1742">
        <f>IF(AND($U350=TRUE,$U351=FALSE),AI350,IF(AND($U350=FALSE,$U351=TRUE),AI351,MAX(AI350,AI351)))</f>
        <v>0</v>
      </c>
      <c r="AJ352" s="1742">
        <f>IF(AND($K350=TRUE,$K351=FALSE),AJ350,IF(AND($K350=FALSE,$K351=TRUE),AJ351,MAX(AJ350,AJ351)))</f>
        <v>0</v>
      </c>
      <c r="AK352" s="1742">
        <f>IF(AND($K350=TRUE,$K351=FALSE),AK350,IF(AND($K350=FALSE,$K351=TRUE),AK351,MAX(AK350,AK351)))</f>
        <v>0</v>
      </c>
      <c r="AL352" s="1742">
        <f>IF(AND($R350=TRUE,$R351=FALSE),AL350,IF(AND($R350=FALSE,$R351=TRUE),AL351,MAX(AL350,AL351)))</f>
        <v>0</v>
      </c>
      <c r="AM352" s="1742">
        <f>IF(AND($R350=TRUE,$R351=FALSE),AM350,IF(AND($R350=FALSE,$R351=TRUE),AM351,MAX(AM350,AM351)))</f>
        <v>0</v>
      </c>
      <c r="AN352" s="1742">
        <f>IF(AND($U350=TRUE,$U351=FALSE),AN350,IF(AND($U350=FALSE,$U351=TRUE),AN351,MAX(AN350,AN351)))</f>
        <v>0</v>
      </c>
      <c r="AO352" s="1742">
        <f>IF(AND($U350=TRUE,$U351=FALSE),AO350,IF(AND($U350=FALSE,$U351=TRUE),AO351,MAX(AO350,AO351)))</f>
        <v>0</v>
      </c>
      <c r="AY352" s="734"/>
      <c r="AZ352" s="734"/>
      <c r="BA352" s="87"/>
      <c r="BB352" s="442"/>
      <c r="BC352" s="89"/>
      <c r="BD352" s="446"/>
      <c r="BE352" s="446"/>
      <c r="BF352" s="89"/>
      <c r="BG352" s="447"/>
      <c r="BH352" s="447"/>
      <c r="BI352" s="443"/>
    </row>
    <row r="353" spans="1:78" ht="27" thickBot="1" x14ac:dyDescent="0.35">
      <c r="D353" s="16"/>
      <c r="E353" s="16"/>
      <c r="F353" s="67"/>
      <c r="G353" s="438"/>
      <c r="H353" s="438"/>
      <c r="I353" s="8"/>
      <c r="J353" s="8"/>
      <c r="K353" s="808"/>
      <c r="L353" s="809"/>
      <c r="M353" s="809"/>
      <c r="N353" s="809"/>
      <c r="O353" s="809"/>
      <c r="P353" s="809"/>
      <c r="Q353" s="809"/>
      <c r="R353" s="809"/>
      <c r="S353" s="809"/>
      <c r="T353" s="809"/>
      <c r="U353" s="809"/>
      <c r="V353" s="809"/>
      <c r="W353" s="1376"/>
      <c r="X353" s="1377">
        <f>IF(AND(W352="V",W344="V"),X348-1,X348)</f>
        <v>1</v>
      </c>
      <c r="Y353" s="1376"/>
      <c r="Z353" s="1377">
        <f>IF(OR(Y344="V",Y347="V",Y352="V"),1,0)</f>
        <v>0</v>
      </c>
      <c r="AA353" s="1376"/>
      <c r="AB353" s="1377">
        <f>IF(AA344="V",1,IF(AA352="V",1,0))</f>
        <v>1</v>
      </c>
      <c r="AD353" s="10">
        <f>X353</f>
        <v>1</v>
      </c>
      <c r="AE353" s="10">
        <f>Z353</f>
        <v>0</v>
      </c>
      <c r="AF353" s="10">
        <f>AB353</f>
        <v>1</v>
      </c>
      <c r="AG353" s="1741">
        <f>IF($W352="F",AG348,AG348+AG352)</f>
        <v>28</v>
      </c>
      <c r="AH353" s="1741">
        <f>IF($Y352="F",AH348,AH348+AH352)</f>
        <v>0</v>
      </c>
      <c r="AI353" s="1741">
        <f>IF(AND($AA344="V",$AA352="F"),AI344,IF(AND($AA344="F",$AA352="V"),AI352,IF(AND($AA344="V",$AA352="V"),AI344+AI352,0)))</f>
        <v>28</v>
      </c>
      <c r="AJ353" s="1741">
        <f>IF($W352="F",AJ348,AJ348+AJ352)</f>
        <v>16</v>
      </c>
      <c r="AK353" s="1741">
        <f t="shared" ref="AK353" si="705">IF($W352="F",AK348,AK348+AK352)</f>
        <v>40</v>
      </c>
      <c r="AL353" s="1741">
        <f t="shared" ref="AL353" si="706">IF($Y352="F",AL348,AL348+AL352)</f>
        <v>0</v>
      </c>
      <c r="AM353" s="1741">
        <f t="shared" ref="AM353" si="707">IF($Y352="F",AM348,AM348+AM352)</f>
        <v>0</v>
      </c>
      <c r="AN353" s="1741">
        <f t="shared" ref="AN353" si="708">IF(AND($AA344="V",$AA352="F"),AN344,IF(AND($AA344="F",$AA352="V"),AN352,IF(AND($AA344="V",$AA352="V"),AN344+AN352,0)))</f>
        <v>12</v>
      </c>
      <c r="AO353" s="1741">
        <f t="shared" ref="AO353" si="709">IF(AND($AA344="V",$AA352="F"),AO344,IF(AND($AA344="F",$AA352="V"),AO352,IF(AND($AA344="V",$AA352="V"),AO344+AO352,0)))</f>
        <v>28</v>
      </c>
      <c r="AY353" s="734"/>
      <c r="AZ353" s="734"/>
      <c r="BA353" s="87"/>
      <c r="BB353" s="442"/>
      <c r="BC353" s="89"/>
      <c r="BD353" s="446"/>
      <c r="BE353" s="446"/>
      <c r="BF353" s="89"/>
      <c r="BG353" s="447"/>
      <c r="BH353" s="447"/>
      <c r="BI353" s="443"/>
    </row>
    <row r="354" spans="1:78" x14ac:dyDescent="0.3">
      <c r="D354" s="16"/>
      <c r="E354" s="16"/>
      <c r="F354" s="67"/>
      <c r="G354" s="438"/>
      <c r="H354" s="438"/>
      <c r="I354" s="1344"/>
      <c r="J354" s="1345"/>
      <c r="K354" s="1346"/>
      <c r="L354" s="2603"/>
      <c r="M354" s="2603"/>
      <c r="N354" s="2603"/>
      <c r="O354" s="1347"/>
      <c r="P354" s="1364"/>
      <c r="Q354" s="1346"/>
      <c r="R354" s="1347"/>
      <c r="S354" s="1364"/>
      <c r="T354" s="1346"/>
      <c r="U354" s="1347"/>
      <c r="V354" s="145"/>
      <c r="W354" s="1387"/>
      <c r="X354" s="1388"/>
      <c r="Y354" s="1231"/>
      <c r="Z354" s="1231"/>
      <c r="AA354" s="1231"/>
      <c r="AB354" s="1231"/>
      <c r="AD354" s="10"/>
      <c r="AE354" s="10"/>
      <c r="AF354" s="10"/>
      <c r="AY354" s="734"/>
      <c r="AZ354" s="734"/>
      <c r="BA354" s="87"/>
      <c r="BB354" s="442"/>
      <c r="BC354" s="89"/>
      <c r="BD354" s="446"/>
      <c r="BE354" s="446"/>
      <c r="BF354" s="89"/>
      <c r="BG354" s="447"/>
      <c r="BH354" s="447"/>
      <c r="BI354" s="443"/>
    </row>
    <row r="355" spans="1:78" x14ac:dyDescent="0.3">
      <c r="B355" s="1699">
        <v>17</v>
      </c>
      <c r="D355" s="441" t="str">
        <f>'Cpts AR +indép + Sommaire'!B54</f>
        <v>Contact de l'enfant avec la famille élargie</v>
      </c>
      <c r="E355" s="84"/>
      <c r="F355" s="50"/>
      <c r="G355" s="18"/>
      <c r="H355" s="18"/>
      <c r="I355" s="2595" t="s">
        <v>604</v>
      </c>
      <c r="J355" s="2596"/>
      <c r="K355" s="2596"/>
      <c r="L355" s="2597" t="s">
        <v>1086</v>
      </c>
      <c r="M355" s="2597"/>
      <c r="N355" s="2597"/>
      <c r="O355" s="2598"/>
      <c r="P355" s="2599" t="s">
        <v>603</v>
      </c>
      <c r="Q355" s="2600"/>
      <c r="R355" s="2601"/>
      <c r="S355" s="2590" t="s">
        <v>605</v>
      </c>
      <c r="T355" s="2591"/>
      <c r="U355" s="2592"/>
      <c r="V355" s="15"/>
      <c r="W355" s="817"/>
      <c r="X355" s="817"/>
      <c r="Y355" s="817"/>
      <c r="Z355" s="817"/>
      <c r="AA355" s="817"/>
      <c r="AB355" s="818"/>
      <c r="AD355" s="10"/>
      <c r="AE355" s="10"/>
      <c r="AF355" s="10"/>
      <c r="AG355" s="1386" t="s">
        <v>604</v>
      </c>
      <c r="AH355" s="1386" t="s">
        <v>603</v>
      </c>
      <c r="AI355" s="1386" t="s">
        <v>605</v>
      </c>
      <c r="AJ355" s="2589" t="s">
        <v>604</v>
      </c>
      <c r="AK355" s="2589"/>
      <c r="AL355" s="2589" t="s">
        <v>603</v>
      </c>
      <c r="AM355" s="2589"/>
      <c r="AN355" s="2589" t="s">
        <v>605</v>
      </c>
      <c r="AO355" s="2589"/>
      <c r="AY355" s="734"/>
      <c r="AZ355" s="734"/>
      <c r="BA355" s="87"/>
      <c r="BB355" s="442"/>
      <c r="BC355" s="89"/>
      <c r="BD355" s="446"/>
      <c r="BE355" s="446"/>
      <c r="BF355" s="89"/>
      <c r="BG355" s="447"/>
      <c r="BH355" s="447"/>
      <c r="BI355" s="443"/>
    </row>
    <row r="356" spans="1:78" ht="36" x14ac:dyDescent="0.3">
      <c r="D356" s="79" t="s">
        <v>779</v>
      </c>
      <c r="E356" s="835" t="s">
        <v>778</v>
      </c>
      <c r="F356" s="26" t="s">
        <v>226</v>
      </c>
      <c r="G356" s="26" t="s">
        <v>22</v>
      </c>
      <c r="H356" s="26" t="s">
        <v>612</v>
      </c>
      <c r="I356" s="1348" t="s">
        <v>269</v>
      </c>
      <c r="J356" s="29" t="s">
        <v>270</v>
      </c>
      <c r="K356" s="29" t="s">
        <v>271</v>
      </c>
      <c r="L356" s="29" t="s">
        <v>363</v>
      </c>
      <c r="M356" s="29" t="s">
        <v>339</v>
      </c>
      <c r="N356" s="29" t="s">
        <v>340</v>
      </c>
      <c r="O356" s="1349" t="s">
        <v>341</v>
      </c>
      <c r="P356" s="1348" t="s">
        <v>269</v>
      </c>
      <c r="Q356" s="29" t="s">
        <v>270</v>
      </c>
      <c r="R356" s="1349" t="s">
        <v>271</v>
      </c>
      <c r="S356" s="1348" t="s">
        <v>269</v>
      </c>
      <c r="T356" s="29" t="s">
        <v>270</v>
      </c>
      <c r="U356" s="1349" t="s">
        <v>271</v>
      </c>
      <c r="V356" s="736"/>
      <c r="W356" s="827" t="s">
        <v>604</v>
      </c>
      <c r="X356" s="828" t="s">
        <v>754</v>
      </c>
      <c r="Y356" s="827" t="s">
        <v>603</v>
      </c>
      <c r="Z356" s="828" t="s">
        <v>755</v>
      </c>
      <c r="AA356" s="827" t="s">
        <v>605</v>
      </c>
      <c r="AB356" s="828" t="s">
        <v>756</v>
      </c>
      <c r="AD356" s="10"/>
      <c r="AE356" s="10"/>
      <c r="AF356" s="10"/>
      <c r="AG356" s="10"/>
      <c r="AH356" s="10"/>
      <c r="AI356" s="10"/>
      <c r="AJ356" s="1490" t="s">
        <v>1058</v>
      </c>
      <c r="AK356" s="1490" t="s">
        <v>1059</v>
      </c>
      <c r="AL356" s="1490" t="s">
        <v>1058</v>
      </c>
      <c r="AM356" s="1490" t="s">
        <v>1059</v>
      </c>
      <c r="AN356" s="1490" t="s">
        <v>1058</v>
      </c>
      <c r="AO356" s="1490" t="s">
        <v>1059</v>
      </c>
      <c r="AY356" s="734"/>
      <c r="AZ356" s="734"/>
      <c r="BA356" s="87"/>
      <c r="BB356" s="442"/>
      <c r="BC356" s="89"/>
      <c r="BD356" s="446"/>
      <c r="BE356" s="446"/>
      <c r="BF356" s="89"/>
      <c r="BG356" s="447"/>
      <c r="BH356" s="447"/>
      <c r="BI356" s="443"/>
    </row>
    <row r="357" spans="1:78" ht="48" x14ac:dyDescent="0.2">
      <c r="A357" t="str">
        <f>IF(Test_Bible!B217="","F","O")</f>
        <v>F</v>
      </c>
      <c r="B357" s="1700" t="str">
        <f>'Cpts AR +indép + Sommaire'!G54</f>
        <v>Interférence lien affectif ou symbolique</v>
      </c>
      <c r="C357" s="379" t="str">
        <f>'Cpts AR +indép + Sommaire'!C54</f>
        <v>PFA27</v>
      </c>
      <c r="D357" s="25" t="str">
        <f>'Cpts AR +indép + Sommaire'!D54</f>
        <v>L’autre parent cherche à limiter les contacts entre votre enfant et votre famille élargie (cousin.es, grands-parents, etc.).</v>
      </c>
      <c r="E357" s="78" t="s">
        <v>644</v>
      </c>
      <c r="F357" s="709">
        <f>'Cpts AR +indép + Sommaire'!E54</f>
        <v>0</v>
      </c>
      <c r="G357" s="709">
        <f>'Cpts AR +indép + Sommaire'!F54</f>
        <v>2</v>
      </c>
      <c r="H357" s="709">
        <f>F357*G357</f>
        <v>0</v>
      </c>
      <c r="I357" s="1350">
        <v>4</v>
      </c>
      <c r="J357" s="1343">
        <v>10</v>
      </c>
      <c r="K357" s="31" t="b">
        <f>IF(AND(F357&gt;=I357,F357&lt;=J357),TRUE,FALSE)</f>
        <v>0</v>
      </c>
      <c r="L357" s="31"/>
      <c r="M357" s="31"/>
      <c r="N357" s="31"/>
      <c r="O357" s="1351"/>
      <c r="P357" s="1350">
        <v>4</v>
      </c>
      <c r="Q357" s="1343">
        <v>7</v>
      </c>
      <c r="R357" s="1351" t="b">
        <f>IF(AND(F357&gt;=P357,F357&lt;=Q357),TRUE,FALSE)</f>
        <v>0</v>
      </c>
      <c r="S357" s="1350">
        <v>4</v>
      </c>
      <c r="T357" s="1343">
        <v>7</v>
      </c>
      <c r="U357" s="1351" t="b">
        <f>IF(AND(F357&gt;=S357,F357&lt;=T357),TRUE,FALSE)</f>
        <v>0</v>
      </c>
      <c r="V357" s="807"/>
      <c r="W357" s="819"/>
      <c r="X357" s="820"/>
      <c r="Y357" s="819"/>
      <c r="Z357" s="820"/>
      <c r="AA357" s="819"/>
      <c r="AB357" s="820"/>
      <c r="AD357" s="10"/>
      <c r="AE357" s="10"/>
      <c r="AF357" s="10"/>
      <c r="AG357" s="832">
        <f>IF($K357=TRUE,H357,0)</f>
        <v>0</v>
      </c>
      <c r="AH357" s="832">
        <f>IF($R357=TRUE,H357,0)</f>
        <v>0</v>
      </c>
      <c r="AI357" s="832">
        <f>IF($U357=TRUE,H357,0)</f>
        <v>0</v>
      </c>
      <c r="AJ357" s="1490">
        <f t="shared" ref="AJ357:AJ358" si="710">IF(OR(I357=11,A357="F"),0,G357*I357)</f>
        <v>0</v>
      </c>
      <c r="AK357" s="1490">
        <f t="shared" ref="AK357:AK358" si="711">IF(OR(J357=11,A357="F"),0,G357*J357)</f>
        <v>0</v>
      </c>
      <c r="AL357" s="1490">
        <f t="shared" ref="AL357:AL358" si="712">IF(OR(P357=11,A357="F"),0,G357*P357)</f>
        <v>0</v>
      </c>
      <c r="AM357" s="1490">
        <f t="shared" ref="AM357:AM358" si="713">IF(OR(Q357=11,A357="F"),0,G357*Q357)</f>
        <v>0</v>
      </c>
      <c r="AN357" s="1490">
        <f t="shared" ref="AN357:AN358" si="714">IF(OR(S357=11,A357="F"),0,S357*G357)</f>
        <v>0</v>
      </c>
      <c r="AO357" s="1490">
        <f t="shared" ref="AO357:AO358" si="715">IF(OR(T357=11,A357="F"),0,T357*G357)</f>
        <v>0</v>
      </c>
      <c r="AY357" s="734"/>
      <c r="AZ357" s="734"/>
      <c r="BA357" s="87"/>
      <c r="BB357" s="442"/>
      <c r="BC357" s="89"/>
      <c r="BD357" s="446"/>
      <c r="BE357" s="446"/>
      <c r="BF357" s="89"/>
      <c r="BG357" s="447"/>
      <c r="BH357" s="447"/>
      <c r="BI357" s="443"/>
    </row>
    <row r="358" spans="1:78" ht="19" x14ac:dyDescent="0.2">
      <c r="B358" s="1531"/>
      <c r="C358" s="379" t="s">
        <v>260</v>
      </c>
      <c r="D358" s="25"/>
      <c r="E358" s="78"/>
      <c r="F358" s="709"/>
      <c r="G358" s="708"/>
      <c r="H358" s="709">
        <f>F358*G358</f>
        <v>0</v>
      </c>
      <c r="I358" s="1374">
        <v>11</v>
      </c>
      <c r="J358" s="1375">
        <v>11</v>
      </c>
      <c r="K358" s="31" t="b">
        <f>IF(AND(F358&gt;=I358,F358&lt;=J358),TRUE,FALSE)</f>
        <v>0</v>
      </c>
      <c r="L358" s="31"/>
      <c r="M358" s="31"/>
      <c r="N358" s="31"/>
      <c r="O358" s="1351"/>
      <c r="P358" s="1374">
        <v>11</v>
      </c>
      <c r="Q358" s="1375">
        <v>11</v>
      </c>
      <c r="R358" s="1351" t="b">
        <f>IF(AND(F358&gt;=P358,F358&lt;=Q358),TRUE,FALSE)</f>
        <v>0</v>
      </c>
      <c r="S358" s="1374">
        <v>11</v>
      </c>
      <c r="T358" s="1375">
        <v>11</v>
      </c>
      <c r="U358" s="1351" t="b">
        <f>IF(AND(F358&gt;=S358,F358&lt;=T358),TRUE,FALSE)</f>
        <v>0</v>
      </c>
      <c r="V358" s="807"/>
      <c r="W358" s="821"/>
      <c r="X358" s="822"/>
      <c r="Y358" s="821"/>
      <c r="Z358" s="822"/>
      <c r="AA358" s="821"/>
      <c r="AB358" s="822"/>
      <c r="AD358" s="10"/>
      <c r="AE358" s="10"/>
      <c r="AF358" s="10"/>
      <c r="AG358" s="832">
        <f>IF($K358=TRUE,H358,0)</f>
        <v>0</v>
      </c>
      <c r="AH358" s="832">
        <f>IF($R358=TRUE,H358,0)</f>
        <v>0</v>
      </c>
      <c r="AI358" s="832">
        <f>IF($U358=TRUE,H358,0)</f>
        <v>0</v>
      </c>
      <c r="AJ358" s="1490">
        <f t="shared" si="710"/>
        <v>0</v>
      </c>
      <c r="AK358" s="1490">
        <f t="shared" si="711"/>
        <v>0</v>
      </c>
      <c r="AL358" s="1490">
        <f t="shared" si="712"/>
        <v>0</v>
      </c>
      <c r="AM358" s="1490">
        <f t="shared" si="713"/>
        <v>0</v>
      </c>
      <c r="AN358" s="1490">
        <f t="shared" si="714"/>
        <v>0</v>
      </c>
      <c r="AO358" s="1490">
        <f t="shared" si="715"/>
        <v>0</v>
      </c>
      <c r="AY358" s="734"/>
      <c r="AZ358" s="734"/>
      <c r="BA358" s="87"/>
      <c r="BB358" s="442"/>
      <c r="BC358" s="89"/>
      <c r="BD358" s="446"/>
      <c r="BE358" s="446"/>
      <c r="BF358" s="89"/>
      <c r="BG358" s="447"/>
      <c r="BH358" s="447"/>
      <c r="BI358" s="443"/>
    </row>
    <row r="359" spans="1:78" ht="34" x14ac:dyDescent="0.2">
      <c r="B359" s="1702"/>
      <c r="C359" s="710" t="s">
        <v>609</v>
      </c>
      <c r="D359" s="711" t="str">
        <f>_xlfn.XLOOKUP(H359,H357:H358,D357:D358)</f>
        <v>L’autre parent cherche à limiter les contacts entre votre enfant et votre famille élargie (cousin.es, grands-parents, etc.).</v>
      </c>
      <c r="E359" s="712" t="str">
        <f>_xlfn.XLOOKUP(H359,H357:H358,E357:E358)</f>
        <v>limite les contacts de l'enfant avec la famille élargie</v>
      </c>
      <c r="F359" s="713"/>
      <c r="G359" s="713"/>
      <c r="H359" s="713">
        <f>IF(AND(K357=TRUE,K358=FALSE),H357,IF(AND(K357=FALSE,K358=TRUE),H358,MAX(H357,H358)))</f>
        <v>0</v>
      </c>
      <c r="I359" s="1352"/>
      <c r="J359" s="714"/>
      <c r="K359" s="715" t="b">
        <f>IF(AND(K357=FALSE,K358=FALSE),FALSE,TRUE)</f>
        <v>0</v>
      </c>
      <c r="L359" s="31"/>
      <c r="M359" s="31"/>
      <c r="N359" s="31"/>
      <c r="O359" s="1351"/>
      <c r="P359" s="1352"/>
      <c r="Q359" s="714"/>
      <c r="R359" s="1365" t="b">
        <f>IF(AND(R357=FALSE,R358=FALSE),FALSE,TRUE)</f>
        <v>0</v>
      </c>
      <c r="S359" s="1352"/>
      <c r="T359" s="714"/>
      <c r="U359" s="1365" t="b">
        <f>IF(AND(U357=FALSE,U358=FALSE),FALSE,TRUE)</f>
        <v>0</v>
      </c>
      <c r="V359" s="807"/>
      <c r="W359" s="821"/>
      <c r="X359" s="822"/>
      <c r="Y359" s="821"/>
      <c r="Z359" s="822"/>
      <c r="AA359" s="821"/>
      <c r="AB359" s="822"/>
      <c r="AD359" s="10"/>
      <c r="AE359" s="10"/>
      <c r="AF359" s="10"/>
      <c r="AG359" s="1740">
        <f>IF($K359=TRUE,MAX(AG357:AG358),0)</f>
        <v>0</v>
      </c>
      <c r="AH359" s="1740">
        <f>IF($R359=TRUE,MAX(AH357:AH358),0)</f>
        <v>0</v>
      </c>
      <c r="AI359" s="1740">
        <f>IF($U359=TRUE,MAX(AI357:AI358),0)</f>
        <v>0</v>
      </c>
      <c r="AJ359" s="1739">
        <f>MAX(AJ357:AJ358)</f>
        <v>0</v>
      </c>
      <c r="AK359" s="1739">
        <f t="shared" ref="AK359" si="716">MAX(AK357:AK358)</f>
        <v>0</v>
      </c>
      <c r="AL359" s="1739">
        <f t="shared" ref="AL359" si="717">MAX(AL357:AL358)</f>
        <v>0</v>
      </c>
      <c r="AM359" s="1739">
        <f t="shared" ref="AM359" si="718">MAX(AM357:AM358)</f>
        <v>0</v>
      </c>
      <c r="AN359" s="1739">
        <f t="shared" ref="AN359" si="719">MAX(AN357:AN358)</f>
        <v>0</v>
      </c>
      <c r="AO359" s="1739">
        <f t="shared" ref="AO359" si="720">MAX(AO357:AO358)</f>
        <v>0</v>
      </c>
      <c r="AY359" s="734"/>
      <c r="AZ359" s="734"/>
      <c r="BA359" s="87"/>
      <c r="BB359" s="442"/>
      <c r="BC359" s="89"/>
      <c r="BD359" s="446"/>
      <c r="BE359" s="446"/>
      <c r="BF359" s="89"/>
      <c r="BG359" s="447"/>
      <c r="BH359" s="447"/>
      <c r="BI359" s="443"/>
    </row>
    <row r="360" spans="1:78" ht="19" x14ac:dyDescent="0.2">
      <c r="B360" s="1531"/>
      <c r="C360" s="38" t="s">
        <v>242</v>
      </c>
      <c r="D360" s="25"/>
      <c r="E360" s="78"/>
      <c r="F360" s="709"/>
      <c r="G360" s="708"/>
      <c r="H360" s="709">
        <f>F360*G360</f>
        <v>0</v>
      </c>
      <c r="I360" s="1374">
        <v>11</v>
      </c>
      <c r="J360" s="1375">
        <v>11</v>
      </c>
      <c r="K360" s="31" t="b">
        <f>IF(AND(F360&gt;=I360,F360&lt;=J360),TRUE,FALSE)</f>
        <v>0</v>
      </c>
      <c r="L360" s="31"/>
      <c r="M360" s="31"/>
      <c r="N360" s="31"/>
      <c r="O360" s="1351"/>
      <c r="P360" s="1374">
        <v>11</v>
      </c>
      <c r="Q360" s="1375">
        <v>11</v>
      </c>
      <c r="R360" s="1351" t="b">
        <f>IF(AND(F360&gt;=P360,F360&lt;=Q360),TRUE,FALSE)</f>
        <v>0</v>
      </c>
      <c r="S360" s="1374">
        <v>11</v>
      </c>
      <c r="T360" s="1375">
        <v>11</v>
      </c>
      <c r="U360" s="1351" t="b">
        <f>IF(AND(F360&gt;=S360,F360&lt;=T360),TRUE,FALSE)</f>
        <v>0</v>
      </c>
      <c r="V360" s="807"/>
      <c r="W360" s="821"/>
      <c r="X360" s="822"/>
      <c r="Y360" s="821"/>
      <c r="Z360" s="822"/>
      <c r="AA360" s="821"/>
      <c r="AB360" s="822"/>
      <c r="AD360" s="10"/>
      <c r="AE360" s="10"/>
      <c r="AF360" s="10"/>
      <c r="AG360" s="832">
        <f>IF(K360=TRUE,H360,0)</f>
        <v>0</v>
      </c>
      <c r="AH360" s="832">
        <f>IF(R360=TRUE,H360,0)</f>
        <v>0</v>
      </c>
      <c r="AI360" s="832">
        <f>IF(U360=TRUE,H360,0)</f>
        <v>0</v>
      </c>
      <c r="AJ360" s="1490">
        <f t="shared" ref="AJ360:AJ361" si="721">IF(OR(I360=11,A360="F"),0,G360*I360)</f>
        <v>0</v>
      </c>
      <c r="AK360" s="1490">
        <f t="shared" ref="AK360:AK361" si="722">IF(OR(J360=11,A360="F"),0,G360*J360)</f>
        <v>0</v>
      </c>
      <c r="AL360" s="1490">
        <f t="shared" ref="AL360:AL361" si="723">IF(OR(P360=11,A360="F"),0,G360*P360)</f>
        <v>0</v>
      </c>
      <c r="AM360" s="1490">
        <f t="shared" ref="AM360:AM361" si="724">IF(OR(Q360=11,A360="F"),0,G360*Q360)</f>
        <v>0</v>
      </c>
      <c r="AN360" s="1490">
        <f t="shared" ref="AN360:AN361" si="725">IF(OR(S360=11,A360="F"),0,S360*G360)</f>
        <v>0</v>
      </c>
      <c r="AO360" s="1490">
        <f t="shared" ref="AO360:AO361" si="726">IF(OR(T360=11,A360="F"),0,T360*G360)</f>
        <v>0</v>
      </c>
      <c r="AY360" s="734"/>
      <c r="AZ360" s="734"/>
      <c r="BA360" s="87"/>
      <c r="BB360" s="442"/>
      <c r="BC360" s="89"/>
      <c r="BD360" s="446"/>
      <c r="BE360" s="446"/>
      <c r="BF360" s="89"/>
      <c r="BG360" s="447"/>
      <c r="BH360" s="447"/>
      <c r="BI360" s="443"/>
    </row>
    <row r="361" spans="1:78" ht="19" x14ac:dyDescent="0.2">
      <c r="B361" s="1700"/>
      <c r="C361" s="38" t="s">
        <v>242</v>
      </c>
      <c r="D361" s="25"/>
      <c r="E361" s="48"/>
      <c r="F361" s="27"/>
      <c r="G361" s="27"/>
      <c r="H361" s="27">
        <f>F361*G361</f>
        <v>0</v>
      </c>
      <c r="I361" s="1374">
        <v>11</v>
      </c>
      <c r="J361" s="1375">
        <v>11</v>
      </c>
      <c r="K361" s="31" t="b">
        <f>IF(AND(F361&gt;=I361,F361&lt;=J361),TRUE,FALSE)</f>
        <v>0</v>
      </c>
      <c r="L361" s="31"/>
      <c r="M361" s="31"/>
      <c r="N361" s="31"/>
      <c r="O361" s="1351"/>
      <c r="P361" s="1374">
        <v>11</v>
      </c>
      <c r="Q361" s="1375">
        <v>11</v>
      </c>
      <c r="R361" s="1351" t="b">
        <f>IF(AND(F361&gt;=P361,F361&lt;=Q361),TRUE,FALSE)</f>
        <v>0</v>
      </c>
      <c r="S361" s="1374">
        <v>11</v>
      </c>
      <c r="T361" s="1375">
        <v>11</v>
      </c>
      <c r="U361" s="1351" t="b">
        <f>IF(AND(F361&gt;=S361,F361&lt;=T361),TRUE,FALSE)</f>
        <v>0</v>
      </c>
      <c r="V361" s="807"/>
      <c r="W361" s="821"/>
      <c r="X361" s="822"/>
      <c r="Y361" s="821"/>
      <c r="Z361" s="822"/>
      <c r="AA361" s="821"/>
      <c r="AB361" s="822"/>
      <c r="AD361" s="10"/>
      <c r="AE361" s="10"/>
      <c r="AF361" s="10"/>
      <c r="AG361" s="832">
        <f>IF(K361=TRUE,H361,0)</f>
        <v>0</v>
      </c>
      <c r="AH361" s="832">
        <f>IF(R361=TRUE,H361,0)</f>
        <v>0</v>
      </c>
      <c r="AI361" s="832">
        <f>IF(U361=TRUE,H361,0)</f>
        <v>0</v>
      </c>
      <c r="AJ361" s="1490">
        <f t="shared" si="721"/>
        <v>0</v>
      </c>
      <c r="AK361" s="1490">
        <f t="shared" si="722"/>
        <v>0</v>
      </c>
      <c r="AL361" s="1490">
        <f t="shared" si="723"/>
        <v>0</v>
      </c>
      <c r="AM361" s="1490">
        <f t="shared" si="724"/>
        <v>0</v>
      </c>
      <c r="AN361" s="1490">
        <f t="shared" si="725"/>
        <v>0</v>
      </c>
      <c r="AO361" s="1490">
        <f t="shared" si="726"/>
        <v>0</v>
      </c>
      <c r="AV361" s="7"/>
      <c r="AX361" s="7"/>
      <c r="AY361" s="734"/>
      <c r="AZ361" s="734"/>
      <c r="BA361" s="87"/>
      <c r="BB361" s="442"/>
      <c r="BC361" s="89"/>
      <c r="BD361" s="446"/>
      <c r="BE361" s="446"/>
      <c r="BF361" s="89"/>
      <c r="BG361" s="447"/>
      <c r="BH361" s="447"/>
      <c r="BI361" s="443"/>
      <c r="BN361" s="25"/>
      <c r="BP361" s="7"/>
      <c r="BQ361" s="7"/>
      <c r="BR361" s="7"/>
      <c r="BS361" s="7"/>
      <c r="BT361" s="7"/>
      <c r="BU361" s="7"/>
      <c r="BV361" s="7"/>
      <c r="BW361" s="7"/>
      <c r="BX361" s="7"/>
      <c r="BY361" s="7"/>
      <c r="BZ361" s="7"/>
    </row>
    <row r="362" spans="1:78" ht="20" thickBot="1" x14ac:dyDescent="0.25">
      <c r="B362" s="1700"/>
      <c r="C362" s="716" t="s">
        <v>610</v>
      </c>
      <c r="D362" s="717">
        <f>_xlfn.XLOOKUP(H362,H360:H361,D360:D361)</f>
        <v>0</v>
      </c>
      <c r="E362" s="718">
        <f>_xlfn.XLOOKUP(H362,H360:H361,E360:E361)</f>
        <v>0</v>
      </c>
      <c r="F362" s="719"/>
      <c r="G362" s="719"/>
      <c r="H362" s="713">
        <f>IF(AND(K360=TRUE,K361=FALSE),H360,IF(AND(K360=FALSE,K361=TRUE),H361,MAX(H360,H361)))</f>
        <v>0</v>
      </c>
      <c r="I362" s="1353"/>
      <c r="J362" s="720"/>
      <c r="K362" s="721" t="b">
        <f>IF(AND(K360=FALSE,K361=FALSE),FALSE,TRUE)</f>
        <v>0</v>
      </c>
      <c r="L362" s="31"/>
      <c r="M362" s="31"/>
      <c r="N362" s="31"/>
      <c r="O362" s="1351"/>
      <c r="P362" s="1353"/>
      <c r="Q362" s="720"/>
      <c r="R362" s="1366" t="b">
        <f>IF(AND(R360=FALSE,R361=FALSE),FALSE,TRUE)</f>
        <v>0</v>
      </c>
      <c r="S362" s="1353"/>
      <c r="T362" s="720"/>
      <c r="U362" s="1366" t="b">
        <f>IF(AND(U360=FALSE,U361=FALSE),FALSE,TRUE)</f>
        <v>0</v>
      </c>
      <c r="V362" s="807"/>
      <c r="W362" s="821"/>
      <c r="X362" s="822"/>
      <c r="Y362" s="821"/>
      <c r="Z362" s="822"/>
      <c r="AA362" s="821"/>
      <c r="AB362" s="822"/>
      <c r="AD362" s="10"/>
      <c r="AE362" s="10"/>
      <c r="AF362" s="10"/>
      <c r="AG362" s="1740">
        <f>IF($K362=TRUE,MAX(AG360:AG361),0)</f>
        <v>0</v>
      </c>
      <c r="AH362" s="1740">
        <f>IF($R362=TRUE,MAX(AH360:AH361),0)</f>
        <v>0</v>
      </c>
      <c r="AI362" s="1740">
        <f>IF($U362=TRUE,MAX(AI360:AI361),0)</f>
        <v>0</v>
      </c>
      <c r="AJ362" s="1739">
        <f>MAX(AJ360:AJ361)</f>
        <v>0</v>
      </c>
      <c r="AK362" s="1739">
        <f t="shared" ref="AK362" si="727">MAX(AK360:AK361)</f>
        <v>0</v>
      </c>
      <c r="AL362" s="1739">
        <f t="shared" ref="AL362" si="728">MAX(AL360:AL361)</f>
        <v>0</v>
      </c>
      <c r="AM362" s="1739">
        <f t="shared" ref="AM362" si="729">MAX(AM360:AM361)</f>
        <v>0</v>
      </c>
      <c r="AN362" s="1739">
        <f t="shared" ref="AN362" si="730">MAX(AN360:AN361)</f>
        <v>0</v>
      </c>
      <c r="AO362" s="1739">
        <f t="shared" ref="AO362" si="731">MAX(AO360:AO361)</f>
        <v>0</v>
      </c>
      <c r="AV362" s="7"/>
      <c r="AX362" s="7"/>
      <c r="AY362" s="734"/>
      <c r="AZ362" s="734"/>
      <c r="BA362" s="87"/>
      <c r="BB362" s="442"/>
      <c r="BC362" s="89"/>
      <c r="BD362" s="446"/>
      <c r="BE362" s="446"/>
      <c r="BF362" s="89"/>
      <c r="BG362" s="447"/>
      <c r="BH362" s="447"/>
      <c r="BI362" s="443"/>
      <c r="BN362" s="25"/>
      <c r="BP362" s="7"/>
      <c r="BQ362" s="7"/>
      <c r="BR362" s="7"/>
      <c r="BS362" s="7"/>
      <c r="BT362" s="7"/>
      <c r="BU362" s="7"/>
      <c r="BV362" s="7"/>
      <c r="BW362" s="7"/>
      <c r="BX362" s="7"/>
      <c r="BY362" s="7"/>
      <c r="BZ362" s="7"/>
    </row>
    <row r="363" spans="1:78" ht="35" thickBot="1" x14ac:dyDescent="0.25">
      <c r="B363" s="1700"/>
      <c r="C363" s="722" t="s">
        <v>616</v>
      </c>
      <c r="D363" s="723"/>
      <c r="E363" s="723" t="str">
        <f>IF(H363=H359,E359,E362)</f>
        <v>limite les contacts de l'enfant avec la famille élargie</v>
      </c>
      <c r="F363" s="724"/>
      <c r="G363" s="724"/>
      <c r="H363" s="724">
        <f>IF(AND(K359=TRUE,K362=FALSE),H359,IF(AND(K359=FALSE,K362=TRUE),H362,IF(AND(K359=TRUE,K362=TRUE),H359+H362,MAX(H359,H362))))</f>
        <v>0</v>
      </c>
      <c r="I363" s="1354"/>
      <c r="J363" s="725"/>
      <c r="K363" s="726" t="b">
        <f>IF(AND(K359=FALSE,K362=FALSE),FALSE,TRUE)</f>
        <v>0</v>
      </c>
      <c r="L363" s="1338"/>
      <c r="M363" s="1338"/>
      <c r="N363" s="1338"/>
      <c r="O363" s="1355"/>
      <c r="P363" s="1354"/>
      <c r="Q363" s="725"/>
      <c r="R363" s="726" t="b">
        <f>IF(AND(R359=FALSE,R362=FALSE),FALSE,TRUE)</f>
        <v>0</v>
      </c>
      <c r="S363" s="1354"/>
      <c r="T363" s="725"/>
      <c r="U363" s="726" t="b">
        <f>IF(AND(U359=FALSE,U362=FALSE),FALSE,TRUE)</f>
        <v>0</v>
      </c>
      <c r="V363" s="807"/>
      <c r="W363" s="821" t="str">
        <f>IF(K363=TRUE,"V","F")</f>
        <v>F</v>
      </c>
      <c r="X363" s="822"/>
      <c r="Y363" s="821" t="str">
        <f>IF(R363=TRUE,"V","F")</f>
        <v>F</v>
      </c>
      <c r="Z363" s="822"/>
      <c r="AA363" s="821" t="str">
        <f>IF(U363=TRUE,"V","F")</f>
        <v>F</v>
      </c>
      <c r="AB363" s="822"/>
      <c r="AC363" t="str">
        <f>IF(OR(W363="V",Y363="V"),IF(H362&gt;H359,"Le NC contribue plus que le coparent","Le coparent joue un plus grand rôle que le NC"),"pas de contexte significatif de la part du coparent et NC")</f>
        <v>pas de contexte significatif de la part du coparent et NC</v>
      </c>
      <c r="AD363" s="10"/>
      <c r="AE363" s="10"/>
      <c r="AF363" s="10"/>
      <c r="AG363" s="591">
        <f>IF(AND($K359=TRUE,$K362=FALSE),AG359,IF(AND($K359=FALSE,$K362=TRUE),AG362,IF(AND($K359=TRUE,$K362=TRUE),AG359+AG362,0)))</f>
        <v>0</v>
      </c>
      <c r="AH363" s="591">
        <f>IF(AND($R359=TRUE,$R362=FALSE),AH359,IF(AND($R359=FALSE,$R362=TRUE),AH362,IF(AND($R359=TRUE,$R362=TRUE),AH359+AH362,0)))</f>
        <v>0</v>
      </c>
      <c r="AI363" s="591">
        <f>IF(AND($U359=TRUE,$U362=FALSE),AI359,IF(AND($U359=FALSE,$U362=TRUE),AI362,IF(AND($U359=TRUE,$U362=TRUE),AI359+AI362,0)))</f>
        <v>0</v>
      </c>
      <c r="AJ363" s="591">
        <f>IF(AND($K359=TRUE,$K362=FALSE),AJ359,IF(AND($K359=FALSE,$K362=TRUE),AJ362,IF(AND($K359=TRUE,$K362=TRUE),AJ359+AJ362,MAX(AJ359,AJ362))))</f>
        <v>0</v>
      </c>
      <c r="AK363" s="591">
        <f>IF(AND($K359=TRUE,$K362=FALSE),AK359,IF(AND($K359=FALSE,$K362=TRUE),AK362,IF(AND($K359=TRUE,$K362=TRUE),AK359+AK362,MAX(AK359,AK362))))</f>
        <v>0</v>
      </c>
      <c r="AL363" s="591">
        <f t="shared" ref="AL363" si="732">IF(AND($R359=TRUE,$R362=FALSE),AL359,IF(AND($R359=FALSE,$R362=TRUE),AL362,IF(AND($R359=TRUE,$R362=TRUE),AL359+AL362,MAX(AL359,AL362))))</f>
        <v>0</v>
      </c>
      <c r="AM363" s="591">
        <f t="shared" ref="AM363" si="733">IF(AND($R359=TRUE,$R362=FALSE),AM359,IF(AND($R359=FALSE,$R362=TRUE),AM362,IF(AND($R359=TRUE,$R362=TRUE),AM359+AM362,MAX(AM359,AM362))))</f>
        <v>0</v>
      </c>
      <c r="AN363" s="591">
        <f t="shared" ref="AN363" si="734">IF(AND($U359=TRUE,$U362=FALSE),AN359,IF(AND($U359=FALSE,$U362=TRUE),AN362,IF(AND($U359=TRUE,$U362=TRUE),AN359+AN362,MAX(AN359,AN362))))</f>
        <v>0</v>
      </c>
      <c r="AO363" s="591">
        <f t="shared" ref="AO363" si="735">IF(AND($U359=TRUE,$U362=FALSE),AO359,IF(AND($U359=FALSE,$U362=TRUE),AO362,IF(AND($U359=TRUE,$U362=TRUE),AO359+AO362,MAX(AO359,AO362))))</f>
        <v>0</v>
      </c>
      <c r="AV363" s="7"/>
      <c r="AX363" s="7"/>
      <c r="AY363" s="734"/>
      <c r="AZ363" s="734"/>
      <c r="BA363" s="87"/>
      <c r="BB363" s="442"/>
      <c r="BC363" s="89"/>
      <c r="BD363" s="446"/>
      <c r="BE363" s="446"/>
      <c r="BF363" s="89"/>
      <c r="BG363" s="447"/>
      <c r="BH363" s="447"/>
      <c r="BI363" s="443"/>
      <c r="BN363" s="25"/>
      <c r="BP363" s="7"/>
      <c r="BQ363" s="7"/>
      <c r="BR363" s="7"/>
      <c r="BS363" s="7"/>
      <c r="BT363" s="7"/>
      <c r="BU363" s="7"/>
      <c r="BV363" s="7"/>
      <c r="BW363" s="7"/>
      <c r="BX363" s="7"/>
      <c r="BY363" s="7"/>
      <c r="BZ363" s="7"/>
    </row>
    <row r="364" spans="1:78" ht="51" x14ac:dyDescent="0.2">
      <c r="A364" t="str">
        <f>IF(Test_Bible!B336="","F","O")</f>
        <v>O</v>
      </c>
      <c r="B364" s="1700" t="str">
        <f>'Cpts AR +indép + Sommaire'!S54</f>
        <v>Rôle actif de l'enfant</v>
      </c>
      <c r="C364" s="287" t="str">
        <f>'Cpts AR +indép + Sommaire'!O54</f>
        <v>E35a</v>
      </c>
      <c r="D364" s="25" t="str">
        <f>'Cpts AR +indép + Sommaire'!P54</f>
        <v>Dans quelle mesure diriez-vous que votre enfant accepte les contacts avec votre famille élargie  (cousin.es, grands-parents, etc.) ?</v>
      </c>
      <c r="E364" s="78" t="s">
        <v>645</v>
      </c>
      <c r="F364" s="709">
        <f>'Cpts AR +indép + Sommaire'!Q54</f>
        <v>0</v>
      </c>
      <c r="G364" s="709">
        <f>'Cpts AR +indép + Sommaire'!R54</f>
        <v>1</v>
      </c>
      <c r="H364" s="709">
        <f>F364*G364</f>
        <v>0</v>
      </c>
      <c r="I364" s="1350">
        <v>4</v>
      </c>
      <c r="J364" s="1343">
        <v>10</v>
      </c>
      <c r="K364" s="31" t="b">
        <f>IF(AND(F364&gt;=I364,F364&lt;=J364),TRUE,FALSE)</f>
        <v>0</v>
      </c>
      <c r="L364" s="31"/>
      <c r="M364" s="31"/>
      <c r="N364" s="31"/>
      <c r="O364" s="1351"/>
      <c r="P364" s="1350">
        <v>2</v>
      </c>
      <c r="Q364" s="1343">
        <v>4</v>
      </c>
      <c r="R364" s="1351" t="b">
        <f>IF(AND(F364&gt;=P364,F364&lt;=Q364),TRUE,FALSE)</f>
        <v>0</v>
      </c>
      <c r="S364" s="1350"/>
      <c r="T364" s="1343"/>
      <c r="U364" s="1351"/>
      <c r="V364" s="807"/>
      <c r="W364" s="821" t="s">
        <v>753</v>
      </c>
      <c r="X364" s="822"/>
      <c r="Y364" s="821"/>
      <c r="Z364" s="822"/>
      <c r="AA364" s="821"/>
      <c r="AB364" s="822"/>
      <c r="AD364" s="10"/>
      <c r="AE364" s="10"/>
      <c r="AF364" s="10"/>
      <c r="AG364" s="832">
        <f>IF($K364=TRUE,H364,0)</f>
        <v>0</v>
      </c>
      <c r="AH364" s="832">
        <f>IF($R364=TRUE,H364,0)</f>
        <v>0</v>
      </c>
      <c r="AI364" s="832"/>
      <c r="AJ364" s="1490">
        <f t="shared" ref="AJ364:AJ365" si="736">IF(OR(I364=11,A364="F"),0,G364*I364)</f>
        <v>4</v>
      </c>
      <c r="AK364" s="1490">
        <f t="shared" ref="AK364:AK365" si="737">IF(OR(J364=11,A364="F"),0,G364*J364)</f>
        <v>10</v>
      </c>
      <c r="AL364" s="1490">
        <f t="shared" ref="AL364:AL365" si="738">IF(OR(P364=11,A364="F"),0,G364*P364)</f>
        <v>2</v>
      </c>
      <c r="AM364" s="1490">
        <f t="shared" ref="AM364:AM365" si="739">IF(OR(Q364=11,A364="F"),0,G364*Q364)</f>
        <v>4</v>
      </c>
      <c r="AN364" s="1490">
        <f t="shared" ref="AN364:AN365" si="740">IF(OR(S364=11,A364="F"),0,S364*G364)</f>
        <v>0</v>
      </c>
      <c r="AO364" s="1490">
        <f t="shared" ref="AO364:AO365" si="741">IF(OR(T364=11,A364="F"),0,T364*G364)</f>
        <v>0</v>
      </c>
      <c r="AV364" s="7"/>
      <c r="AX364" s="7"/>
      <c r="AY364" s="734"/>
      <c r="AZ364" s="734"/>
      <c r="BA364" s="87"/>
      <c r="BB364" s="442"/>
      <c r="BC364" s="89"/>
      <c r="BD364" s="446"/>
      <c r="BE364" s="446"/>
      <c r="BF364" s="89"/>
      <c r="BG364" s="447"/>
      <c r="BH364" s="447"/>
      <c r="BI364" s="443"/>
      <c r="BN364" s="25"/>
      <c r="BP364" s="7"/>
      <c r="BQ364" s="7"/>
      <c r="BR364" s="7"/>
      <c r="BS364" s="7"/>
      <c r="BT364" s="7"/>
      <c r="BU364" s="7"/>
      <c r="BV364" s="7"/>
      <c r="BW364" s="7"/>
      <c r="BX364" s="7"/>
      <c r="BY364" s="7"/>
      <c r="BZ364" s="7"/>
    </row>
    <row r="365" spans="1:78" ht="20" thickBot="1" x14ac:dyDescent="0.25">
      <c r="B365" s="1700"/>
      <c r="C365" s="287" t="s">
        <v>272</v>
      </c>
      <c r="D365" s="25"/>
      <c r="E365" s="78"/>
      <c r="F365" s="709"/>
      <c r="G365" s="708"/>
      <c r="H365" s="709">
        <f>F365*G365</f>
        <v>0</v>
      </c>
      <c r="I365" s="1374">
        <v>11</v>
      </c>
      <c r="J365" s="1375">
        <v>11</v>
      </c>
      <c r="K365" s="31" t="b">
        <f>IF(AND(F365&gt;=I365,F365&lt;=J365),TRUE,FALSE)</f>
        <v>0</v>
      </c>
      <c r="L365" s="31"/>
      <c r="M365" s="31"/>
      <c r="N365" s="31"/>
      <c r="O365" s="1351"/>
      <c r="P365" s="1374">
        <v>11</v>
      </c>
      <c r="Q365" s="1375">
        <v>11</v>
      </c>
      <c r="R365" s="1351" t="b">
        <f>IF(AND(F365&gt;=P365,F365&lt;=Q365),TRUE,FALSE)</f>
        <v>0</v>
      </c>
      <c r="S365" s="1374"/>
      <c r="T365" s="1375"/>
      <c r="U365" s="1351"/>
      <c r="V365" s="807"/>
      <c r="W365" s="821"/>
      <c r="X365" s="822"/>
      <c r="Y365" s="821"/>
      <c r="Z365" s="822"/>
      <c r="AA365" s="821"/>
      <c r="AB365" s="822"/>
      <c r="AD365" s="10"/>
      <c r="AE365" s="10"/>
      <c r="AF365" s="10"/>
      <c r="AG365" s="832">
        <f>IF($K365=TRUE,H365,0)</f>
        <v>0</v>
      </c>
      <c r="AH365" s="832">
        <f>IF($R365=TRUE,H365,0)</f>
        <v>0</v>
      </c>
      <c r="AI365" s="832"/>
      <c r="AJ365" s="1490">
        <f t="shared" si="736"/>
        <v>0</v>
      </c>
      <c r="AK365" s="1490">
        <f t="shared" si="737"/>
        <v>0</v>
      </c>
      <c r="AL365" s="1490">
        <f t="shared" si="738"/>
        <v>0</v>
      </c>
      <c r="AM365" s="1490">
        <f t="shared" si="739"/>
        <v>0</v>
      </c>
      <c r="AN365" s="1490">
        <f t="shared" si="740"/>
        <v>0</v>
      </c>
      <c r="AO365" s="1490">
        <f t="shared" si="741"/>
        <v>0</v>
      </c>
      <c r="AV365" s="7"/>
      <c r="AX365" s="7"/>
      <c r="AY365" s="734"/>
      <c r="AZ365" s="734"/>
      <c r="BA365" s="87"/>
      <c r="BB365" s="442"/>
      <c r="BC365" s="89"/>
      <c r="BD365" s="446"/>
      <c r="BE365" s="446"/>
      <c r="BF365" s="89"/>
      <c r="BG365" s="447"/>
      <c r="BH365" s="447"/>
      <c r="BI365" s="443"/>
      <c r="BN365" s="25"/>
      <c r="BP365" s="7"/>
      <c r="BQ365" s="7"/>
      <c r="BR365" s="7"/>
      <c r="BS365" s="7"/>
      <c r="BT365" s="7"/>
      <c r="BU365" s="7"/>
      <c r="BV365" s="7"/>
      <c r="BW365" s="7"/>
      <c r="BX365" s="7"/>
      <c r="BY365" s="7"/>
      <c r="BZ365" s="7"/>
    </row>
    <row r="366" spans="1:78" ht="52" thickBot="1" x14ac:dyDescent="0.25">
      <c r="B366" s="1700"/>
      <c r="C366" s="727" t="s">
        <v>611</v>
      </c>
      <c r="D366" s="728" t="str">
        <f>_xlfn.XLOOKUP(H366,H364:H365,D364:D365)</f>
        <v>Dans quelle mesure diriez-vous que votre enfant accepte les contacts avec votre famille élargie  (cousin.es, grands-parents, etc.) ?</v>
      </c>
      <c r="E366" s="728" t="str">
        <f>_xlfn.XLOOKUP(H366,H364:H365,E364:E365)</f>
        <v>refuse les contacts avec la famille élargie</v>
      </c>
      <c r="F366" s="729"/>
      <c r="G366" s="729"/>
      <c r="H366" s="729">
        <f>IF(AND(K364=TRUE,K365=FALSE),H364,IF(AND(K364=FALSE,K365=TRUE),H365,MAX(H364,H365)))</f>
        <v>0</v>
      </c>
      <c r="I366" s="1356"/>
      <c r="J366" s="730"/>
      <c r="K366" s="731" t="b">
        <f>IF(AND(K364=FALSE,K365=FALSE),FALSE,TRUE)</f>
        <v>0</v>
      </c>
      <c r="L366" s="1339"/>
      <c r="M366" s="1339"/>
      <c r="N366" s="1339"/>
      <c r="O366" s="1357"/>
      <c r="P366" s="1356"/>
      <c r="Q366" s="730"/>
      <c r="R366" s="731" t="b">
        <f>IF(AND(R364=FALSE,R365=FALSE),FALSE,TRUE)</f>
        <v>0</v>
      </c>
      <c r="S366" s="1356"/>
      <c r="T366" s="730"/>
      <c r="U366" s="731"/>
      <c r="V366" s="807"/>
      <c r="W366" s="821" t="str">
        <f>IF(K366=TRUE,"V","F")</f>
        <v>F</v>
      </c>
      <c r="X366" s="822"/>
      <c r="Y366" s="821" t="str">
        <f>IF(R366=TRUE,"V","F")</f>
        <v>F</v>
      </c>
      <c r="Z366" s="822"/>
      <c r="AA366" s="821"/>
      <c r="AB366" s="822"/>
      <c r="AD366" s="10"/>
      <c r="AE366" s="10"/>
      <c r="AF366" s="10"/>
      <c r="AG366" s="1742">
        <f>IF(AND($K364=TRUE,$K365=FALSE),AG364,IF(AND($K364=FALSE,$K365=TRUE),AG365,IF(AND($K364=TRUE,$K365=TRUE),MAX(AG364,AG365),0)))</f>
        <v>0</v>
      </c>
      <c r="AH366" s="1742">
        <f>IF(AND($R364=TRUE,$R365=FALSE),AH364,IF(AND($R364=FALSE,$R365=TRUE),AH365,IF(AND($R364=TRUE,$R365=TRUE),MAX(AH364,AH365),0)))</f>
        <v>0</v>
      </c>
      <c r="AI366" s="1742"/>
      <c r="AJ366" s="1742">
        <f>IF(AND($K364=TRUE,$K365=FALSE),AJ364,IF(AND($K364=FALSE,$K365=TRUE),AJ365,IF(AND($K364=TRUE,$K365=TRUE),MAX(AJ364,AJ365),0)))</f>
        <v>0</v>
      </c>
      <c r="AK366" s="1742">
        <f>IF(AND($K364=TRUE,$K365=FALSE),AK364,IF(AND($K364=FALSE,$K365=TRUE),AK365,IF(AND($K364=TRUE,$K365=TRUE),MAX(AK364,AK365),0)))</f>
        <v>0</v>
      </c>
      <c r="AL366" s="1742">
        <f t="shared" ref="AL366" si="742">IF(AND($R364=TRUE,$R365=FALSE),AL364,IF(AND($R364=FALSE,$R365=TRUE),AL365,IF(AND($R364=TRUE,$R365=TRUE),MAX(AL364,AL365),0)))</f>
        <v>0</v>
      </c>
      <c r="AM366" s="1742">
        <f t="shared" ref="AM366" si="743">IF(AND($R364=TRUE,$R365=FALSE),AM364,IF(AND($R364=FALSE,$R365=TRUE),AM365,IF(AND($R364=TRUE,$R365=TRUE),MAX(AM364,AM365),0)))</f>
        <v>0</v>
      </c>
      <c r="AN366" s="1742"/>
      <c r="AO366" s="1742"/>
      <c r="AY366" s="734"/>
      <c r="AZ366" s="734"/>
      <c r="BA366" s="87"/>
      <c r="BB366" s="442"/>
      <c r="BC366" s="89"/>
      <c r="BD366" s="446"/>
      <c r="BE366" s="446"/>
      <c r="BF366" s="89"/>
      <c r="BG366" s="447"/>
      <c r="BH366" s="447"/>
      <c r="BI366" s="443"/>
    </row>
    <row r="367" spans="1:78" ht="34" x14ac:dyDescent="0.2">
      <c r="B367" s="1700"/>
      <c r="D367" s="386" t="s">
        <v>273</v>
      </c>
      <c r="E367" s="705"/>
      <c r="F367" s="439" t="s">
        <v>349</v>
      </c>
      <c r="G367" s="33"/>
      <c r="H367" s="33">
        <f>IF(AND(K363=TRUE,K366=FALSE),H363,IF(AND(K363=FALSE,K366=TRUE),H366,IF(AND(K363=TRUE,K366=TRUE),H363+H366,MAX(H363,H366))))</f>
        <v>0</v>
      </c>
      <c r="I367" s="1358"/>
      <c r="J367" s="440"/>
      <c r="K367" s="1341"/>
      <c r="L367" s="1342" t="str">
        <f>IF(AND(K366=TRUE,K363=TRUE),E366,"")</f>
        <v/>
      </c>
      <c r="M367" s="1342" t="str">
        <f>IF(AND(K363=TRUE,K366=FALSE),"Bien que le parent "&amp;E363&amp;" l'enfant ne semble pas s'ingérer","")</f>
        <v/>
      </c>
      <c r="N367" s="1342" t="str">
        <f>IF(AND(K363=FALSE,K366=TRUE),E366&amp;" sans signe de la participation du parent favorisé et|ou nouveau conjoint.e","")</f>
        <v/>
      </c>
      <c r="O367" s="1359" t="str">
        <f>IF(AND(K363=FALSE,K366=FALSE),"aucun comportement significatif de cette nature","")</f>
        <v>aucun comportement significatif de cette nature</v>
      </c>
      <c r="P367" s="1358"/>
      <c r="Q367" s="440"/>
      <c r="R367" s="1367"/>
      <c r="S367" s="1358"/>
      <c r="T367" s="440"/>
      <c r="U367" s="1367"/>
      <c r="V367" s="145"/>
      <c r="W367" s="823"/>
      <c r="X367" s="824">
        <f>IF(AND(W363="V",W366="V"),2,IF(OR(W363="V",W366="V"),1,0))</f>
        <v>0</v>
      </c>
      <c r="Y367" s="823"/>
      <c r="Z367" s="824">
        <f>IF(OR(Y363="V",Y366="V"),1,0)</f>
        <v>0</v>
      </c>
      <c r="AA367" s="823"/>
      <c r="AB367" s="824"/>
      <c r="AD367" s="10"/>
      <c r="AE367" s="10"/>
      <c r="AF367" s="10"/>
      <c r="AG367" s="1738">
        <f>IF(AND($W363="V",$W366="F"),AG363,IF(AND($W363="F",$W366="V"),AG366,IF(AND($W363="V",$W366="V"),AG363+AG366,0)))</f>
        <v>0</v>
      </c>
      <c r="AH367" s="1738">
        <f>IF(AND($Y363="V",$Y366="F"),AH363,IF(AND($Y363="F",$Y366="V"),AH366,IF(AND($Y363="V",$Y366="V"),AH363+AH366,0)))</f>
        <v>0</v>
      </c>
      <c r="AI367" s="1738"/>
      <c r="AJ367" s="1738">
        <f>IF(AND($W363="V",$W366="F"),AJ363,IF(AND($W363="F",$W366="V"),AJ366,IF(AND($W363="V",$W366="V"),AJ363+AJ366,0)))</f>
        <v>0</v>
      </c>
      <c r="AK367" s="1738">
        <f>IF(AND($W363="V",$W366="F"),AK363,IF(AND($W363="F",$W366="V"),AK366,IF(AND($W363="V",$W366="V"),AK363+AK366,0)))</f>
        <v>0</v>
      </c>
      <c r="AL367" s="1738">
        <f>IF(AND($Y363="V",$Y366="F"),AL363,IF(AND($Y363="F",$Y366="V"),AL366,IF(AND($Y363="V",$Y366="V"),AL363+AL366,0)))</f>
        <v>0</v>
      </c>
      <c r="AM367" s="1738">
        <f>IF(AND($Y363="V",$Y366="F"),AM363,IF(AND($Y363="F",$Y366="V"),AM366,IF(AND($Y363="V",$Y366="V"),AM363+AM366,0)))</f>
        <v>0</v>
      </c>
      <c r="AN367" s="1738"/>
      <c r="AO367" s="1738"/>
      <c r="AY367" s="734"/>
      <c r="AZ367" s="734"/>
      <c r="BA367" s="87"/>
      <c r="BB367" s="442"/>
      <c r="BC367" s="89"/>
      <c r="BD367" s="446"/>
      <c r="BE367" s="446"/>
      <c r="BF367" s="89"/>
      <c r="BG367" s="447"/>
      <c r="BH367" s="447"/>
      <c r="BI367" s="443"/>
    </row>
    <row r="368" spans="1:78" ht="19" x14ac:dyDescent="0.2">
      <c r="B368" s="1700"/>
      <c r="C368" t="s">
        <v>238</v>
      </c>
      <c r="I368" s="122"/>
      <c r="L368" s="32"/>
      <c r="M368" s="32"/>
      <c r="N368" s="32"/>
      <c r="O368" s="1379"/>
      <c r="P368" s="122"/>
      <c r="R368" s="292"/>
      <c r="S368" s="122"/>
      <c r="U368" s="292"/>
      <c r="V368" s="32"/>
      <c r="W368" s="821"/>
      <c r="X368" s="822"/>
      <c r="Y368" s="821"/>
      <c r="Z368" s="822"/>
      <c r="AA368" s="821"/>
      <c r="AB368" s="822"/>
      <c r="AD368" s="10"/>
      <c r="AE368" s="10"/>
      <c r="AF368" s="10"/>
      <c r="AG368" s="832"/>
      <c r="AH368" s="832"/>
      <c r="AI368" s="832"/>
      <c r="AJ368" s="1490"/>
      <c r="AK368" s="1490"/>
      <c r="AL368" s="1490"/>
      <c r="AM368" s="1490"/>
      <c r="AN368" s="1490"/>
      <c r="AO368" s="1490"/>
      <c r="AY368" s="734"/>
      <c r="AZ368" s="734"/>
      <c r="BA368" s="87"/>
      <c r="BB368" s="442"/>
      <c r="BC368" s="89"/>
      <c r="BD368" s="446"/>
      <c r="BE368" s="446"/>
      <c r="BF368" s="89"/>
      <c r="BG368" s="447"/>
      <c r="BH368" s="447"/>
      <c r="BI368" s="443"/>
    </row>
    <row r="369" spans="1:78" ht="19" x14ac:dyDescent="0.2">
      <c r="B369" s="1700"/>
      <c r="C369" s="825"/>
      <c r="D369" s="829"/>
      <c r="E369" s="826"/>
      <c r="F369" s="830"/>
      <c r="G369" s="830"/>
      <c r="H369" s="830">
        <f>F369*G369</f>
        <v>0</v>
      </c>
      <c r="I369" s="1374">
        <v>11</v>
      </c>
      <c r="J369" s="1375">
        <v>11</v>
      </c>
      <c r="K369" s="31" t="b">
        <f>IF(AND(F369&gt;=I369,F369&lt;=J369),TRUE,FALSE)</f>
        <v>0</v>
      </c>
      <c r="L369" s="26"/>
      <c r="M369" s="26"/>
      <c r="N369" s="26"/>
      <c r="O369" s="1360"/>
      <c r="P369" s="1374">
        <v>11</v>
      </c>
      <c r="Q369" s="1375">
        <v>11</v>
      </c>
      <c r="R369" s="1351" t="b">
        <f>IF(AND(F369&gt;=P369,F369&lt;=Q369),TRUE,FALSE)</f>
        <v>0</v>
      </c>
      <c r="S369" s="1374">
        <v>11</v>
      </c>
      <c r="T369" s="1375">
        <v>11</v>
      </c>
      <c r="U369" s="1351" t="b">
        <f>IF(AND(F369&gt;=S369,F369&lt;=T369),TRUE,FALSE)</f>
        <v>0</v>
      </c>
      <c r="V369" s="32"/>
      <c r="W369" s="821"/>
      <c r="X369" s="822"/>
      <c r="Y369" s="821"/>
      <c r="Z369" s="822"/>
      <c r="AA369" s="821"/>
      <c r="AB369" s="822"/>
      <c r="AD369" s="10"/>
      <c r="AE369" s="10"/>
      <c r="AF369" s="10"/>
      <c r="AG369" s="832">
        <f>IF($K369=TRUE,H369,0)</f>
        <v>0</v>
      </c>
      <c r="AH369" s="832">
        <f>IF($R369=TRUE,H369,0)</f>
        <v>0</v>
      </c>
      <c r="AI369" s="832">
        <f>IF($U369=TRUE,H369,0)</f>
        <v>0</v>
      </c>
      <c r="AJ369" s="1490">
        <f t="shared" ref="AJ369:AJ370" si="744">IF(OR(I369=11,A369="F"),0,G369*I369)</f>
        <v>0</v>
      </c>
      <c r="AK369" s="1490">
        <f t="shared" ref="AK369:AK370" si="745">IF(OR(J369=11,A369="F"),0,G369*J369)</f>
        <v>0</v>
      </c>
      <c r="AL369" s="1490">
        <f t="shared" ref="AL369:AL370" si="746">IF(OR(P369=11,A369="F"),0,G369*P369)</f>
        <v>0</v>
      </c>
      <c r="AM369" s="1490">
        <f t="shared" ref="AM369:AM370" si="747">IF(OR(Q369=11,A369="F"),0,G369*Q369)</f>
        <v>0</v>
      </c>
      <c r="AN369" s="1490">
        <f t="shared" ref="AN369:AN370" si="748">IF(OR(S369=11,A369="F"),0,S369*G369)</f>
        <v>0</v>
      </c>
      <c r="AO369" s="1490">
        <f t="shared" ref="AO369:AO370" si="749">IF(OR(T369=11,A369="F"),0,T369*G369)</f>
        <v>0</v>
      </c>
      <c r="AY369" s="734"/>
      <c r="AZ369" s="734"/>
      <c r="BA369" s="87"/>
      <c r="BB369" s="442"/>
      <c r="BC369" s="89"/>
      <c r="BD369" s="446"/>
      <c r="BE369" s="446"/>
      <c r="BF369" s="89"/>
      <c r="BG369" s="447"/>
      <c r="BH369" s="447"/>
      <c r="BI369" s="443"/>
    </row>
    <row r="370" spans="1:78" ht="20" thickBot="1" x14ac:dyDescent="0.25">
      <c r="B370" s="1700"/>
      <c r="C370" s="825"/>
      <c r="D370" s="829"/>
      <c r="E370" s="826"/>
      <c r="F370" s="830"/>
      <c r="G370" s="830"/>
      <c r="H370" s="830">
        <f>F370*G370</f>
        <v>0</v>
      </c>
      <c r="I370" s="1374">
        <v>11</v>
      </c>
      <c r="J370" s="1375">
        <v>11</v>
      </c>
      <c r="K370" s="31" t="b">
        <f>IF(AND(F370&gt;=I370,F370&lt;=J370),TRUE,FALSE)</f>
        <v>0</v>
      </c>
      <c r="L370" s="26"/>
      <c r="M370" s="26"/>
      <c r="N370" s="26"/>
      <c r="O370" s="1360"/>
      <c r="P370" s="1374">
        <v>11</v>
      </c>
      <c r="Q370" s="1375">
        <v>11</v>
      </c>
      <c r="R370" s="1351" t="b">
        <f>IF(AND(F370&gt;=P370,F370&lt;=Q370),TRUE,FALSE)</f>
        <v>0</v>
      </c>
      <c r="S370" s="1374">
        <v>11</v>
      </c>
      <c r="T370" s="1375">
        <v>11</v>
      </c>
      <c r="U370" s="1351" t="b">
        <f>IF(AND(F370&gt;=S370,F370&lt;=T370),TRUE,FALSE)</f>
        <v>0</v>
      </c>
      <c r="W370" s="821"/>
      <c r="X370" s="822"/>
      <c r="Y370" s="821"/>
      <c r="Z370" s="822"/>
      <c r="AA370" s="821"/>
      <c r="AB370" s="822"/>
      <c r="AD370" s="10"/>
      <c r="AE370" s="10"/>
      <c r="AF370" s="10"/>
      <c r="AG370" s="832">
        <f>IF($K370=TRUE,H370,0)</f>
        <v>0</v>
      </c>
      <c r="AH370" s="832">
        <f>IF($R370=TRUE,H370,0)</f>
        <v>0</v>
      </c>
      <c r="AI370" s="832">
        <f>IF($U370=TRUE,H370,0)</f>
        <v>0</v>
      </c>
      <c r="AJ370" s="1490">
        <f t="shared" si="744"/>
        <v>0</v>
      </c>
      <c r="AK370" s="1490">
        <f t="shared" si="745"/>
        <v>0</v>
      </c>
      <c r="AL370" s="1490">
        <f t="shared" si="746"/>
        <v>0</v>
      </c>
      <c r="AM370" s="1490">
        <f t="shared" si="747"/>
        <v>0</v>
      </c>
      <c r="AN370" s="1490">
        <f t="shared" si="748"/>
        <v>0</v>
      </c>
      <c r="AO370" s="1490">
        <f t="shared" si="749"/>
        <v>0</v>
      </c>
      <c r="AY370" s="734"/>
      <c r="AZ370" s="734"/>
      <c r="BA370" s="87"/>
      <c r="BB370" s="442"/>
      <c r="BC370" s="89"/>
      <c r="BD370" s="446"/>
      <c r="BE370" s="446"/>
      <c r="BF370" s="89"/>
      <c r="BG370" s="447"/>
      <c r="BH370" s="447"/>
      <c r="BI370" s="443"/>
    </row>
    <row r="371" spans="1:78" ht="22" thickBot="1" x14ac:dyDescent="0.25">
      <c r="B371" s="1700"/>
      <c r="C371" s="7"/>
      <c r="D371" s="272"/>
      <c r="E371" s="272"/>
      <c r="F371" s="67"/>
      <c r="G371" s="16"/>
      <c r="H371" s="33">
        <f>IF(AND(K369=TRUE,K370=FALSE),H369,IF(AND(K369=FALSE,K370=TRUE),H370,MAX(H369,H370)))</f>
        <v>0</v>
      </c>
      <c r="I371" s="1371"/>
      <c r="J371" s="1372"/>
      <c r="K371" s="1378" t="b">
        <f>IF(AND(K369=FALSE,K370=FALSE),FALSE,TRUE)</f>
        <v>0</v>
      </c>
      <c r="L371" s="1361"/>
      <c r="M371" s="1362"/>
      <c r="N371" s="1362"/>
      <c r="O371" s="1363"/>
      <c r="P371" s="1371"/>
      <c r="Q371" s="1372"/>
      <c r="R371" s="1378" t="b">
        <f>IF(AND(R369=FALSE,R370=FALSE),FALSE,TRUE)</f>
        <v>0</v>
      </c>
      <c r="S371" s="1383"/>
      <c r="T371" s="1384"/>
      <c r="U371" s="1385" t="b">
        <f>IF(AND(U369=FALSE,U370=FALSE),FALSE,TRUE)</f>
        <v>0</v>
      </c>
      <c r="W371" s="1315" t="str">
        <f>IF(K371=TRUE,"V","F")</f>
        <v>F</v>
      </c>
      <c r="X371" s="1316"/>
      <c r="Y371" s="1315" t="str">
        <f>IF(R371=TRUE,"V","F")</f>
        <v>F</v>
      </c>
      <c r="Z371" s="1316"/>
      <c r="AA371" s="1315" t="str">
        <f>IF(U371=TRUE,"V","F")</f>
        <v>F</v>
      </c>
      <c r="AB371" s="1316"/>
      <c r="AD371" s="10"/>
      <c r="AE371" s="10"/>
      <c r="AF371" s="10"/>
      <c r="AG371" s="1742">
        <f>IF(AND($K369=TRUE,$K370=FALSE),AG369,IF(AND($K369=FALSE,$K370=TRUE),AG370,MAX(AG369,AG370)))</f>
        <v>0</v>
      </c>
      <c r="AH371" s="1742">
        <f>IF(AND($R369=TRUE,$R370=FALSE),AH369,IF(AND($R369=FALSE,$R370=TRUE),AH370,MAX(AH369,AH370)))</f>
        <v>0</v>
      </c>
      <c r="AI371" s="1742">
        <f>IF(AND($U369=TRUE,$U370=FALSE),AI369,IF(AND($U369=FALSE,$U370=TRUE),AI370,MAX(AI369,AI370)))</f>
        <v>0</v>
      </c>
      <c r="AJ371" s="1742">
        <f>IF(AND($K369=TRUE,$K370=FALSE),AJ369,IF(AND($K369=FALSE,$K370=TRUE),AJ370,MAX(AJ369,AJ370)))</f>
        <v>0</v>
      </c>
      <c r="AK371" s="1742">
        <f>IF(AND($K369=TRUE,$K370=FALSE),AK369,IF(AND($K369=FALSE,$K370=TRUE),AK370,MAX(AK369,AK370)))</f>
        <v>0</v>
      </c>
      <c r="AL371" s="1742">
        <f>IF(AND($R369=TRUE,$R370=FALSE),AL369,IF(AND($R369=FALSE,$R370=TRUE),AL370,MAX(AL369,AL370)))</f>
        <v>0</v>
      </c>
      <c r="AM371" s="1742">
        <f>IF(AND($R369=TRUE,$R370=FALSE),AM369,IF(AND($R369=FALSE,$R370=TRUE),AM370,MAX(AM369,AM370)))</f>
        <v>0</v>
      </c>
      <c r="AN371" s="1742">
        <f>IF(AND($U369=TRUE,$U370=FALSE),AN369,IF(AND($U369=FALSE,$U370=TRUE),AN370,MAX(AN369,AN370)))</f>
        <v>0</v>
      </c>
      <c r="AO371" s="1742">
        <f>IF(AND($U369=TRUE,$U370=FALSE),AO369,IF(AND($U369=FALSE,$U370=TRUE),AO370,MAX(AO369,AO370)))</f>
        <v>0</v>
      </c>
      <c r="AY371" s="734"/>
      <c r="AZ371" s="734"/>
      <c r="BA371" s="87"/>
      <c r="BB371" s="442"/>
      <c r="BC371" s="89"/>
      <c r="BD371" s="446"/>
      <c r="BE371" s="446"/>
      <c r="BF371" s="89"/>
      <c r="BG371" s="447"/>
      <c r="BH371" s="447"/>
      <c r="BI371" s="443"/>
    </row>
    <row r="372" spans="1:78" ht="27" thickBot="1" x14ac:dyDescent="0.35">
      <c r="D372" s="16"/>
      <c r="E372" s="16"/>
      <c r="F372" s="67"/>
      <c r="G372" s="438"/>
      <c r="H372" s="438"/>
      <c r="I372" s="8"/>
      <c r="J372" s="8"/>
      <c r="K372" s="808"/>
      <c r="L372" s="809"/>
      <c r="M372" s="809"/>
      <c r="N372" s="809"/>
      <c r="O372" s="809"/>
      <c r="P372" s="809"/>
      <c r="Q372" s="809"/>
      <c r="R372" s="809"/>
      <c r="S372" s="809"/>
      <c r="T372" s="809"/>
      <c r="U372" s="809"/>
      <c r="V372" s="809"/>
      <c r="W372" s="1376"/>
      <c r="X372" s="1377">
        <f>IF(AND(W371="V",W363="V"),X367-1,X367)</f>
        <v>0</v>
      </c>
      <c r="Y372" s="1376"/>
      <c r="Z372" s="1377">
        <f>IF(OR(Y363="V",Y366="V",Y371="V"),1,0)</f>
        <v>0</v>
      </c>
      <c r="AA372" s="1376"/>
      <c r="AB372" s="1377">
        <f>IF(AA363="V",1,IF(AA371="V",1,0))</f>
        <v>0</v>
      </c>
      <c r="AD372" s="10">
        <f>X372</f>
        <v>0</v>
      </c>
      <c r="AE372" s="10">
        <f>Z372</f>
        <v>0</v>
      </c>
      <c r="AF372" s="10">
        <f>AB372</f>
        <v>0</v>
      </c>
      <c r="AG372" s="1741">
        <f>IF($W371="F",AG367,AG367+AG371)</f>
        <v>0</v>
      </c>
      <c r="AH372" s="1741">
        <f>IF($Y371="F",AH367,AH367+AH371)</f>
        <v>0</v>
      </c>
      <c r="AI372" s="1741">
        <f>IF(AND($AA363="V",$AA371="F"),AI363,IF(AND($AA363="F",$AA371="V"),AI371,IF(AND($AA363="V",$AA371="V"),AI363+AI371,0)))</f>
        <v>0</v>
      </c>
      <c r="AJ372" s="1741">
        <f>IF($W371="F",AJ367,AJ367+AJ371)</f>
        <v>0</v>
      </c>
      <c r="AK372" s="1741">
        <f t="shared" ref="AK372" si="750">IF($W371="F",AK367,AK367+AK371)</f>
        <v>0</v>
      </c>
      <c r="AL372" s="1741">
        <f t="shared" ref="AL372" si="751">IF($Y371="F",AL367,AL367+AL371)</f>
        <v>0</v>
      </c>
      <c r="AM372" s="1741">
        <f t="shared" ref="AM372" si="752">IF($Y371="F",AM367,AM367+AM371)</f>
        <v>0</v>
      </c>
      <c r="AN372" s="1741">
        <f t="shared" ref="AN372" si="753">IF(AND($AA363="V",$AA371="F"),AN363,IF(AND($AA363="F",$AA371="V"),AN371,IF(AND($AA363="V",$AA371="V"),AN363+AN371,0)))</f>
        <v>0</v>
      </c>
      <c r="AO372" s="1741">
        <f t="shared" ref="AO372" si="754">IF(AND($AA363="V",$AA371="F"),AO363,IF(AND($AA363="F",$AA371="V"),AO371,IF(AND($AA363="V",$AA371="V"),AO363+AO371,0)))</f>
        <v>0</v>
      </c>
      <c r="AY372" s="734"/>
      <c r="AZ372" s="734"/>
      <c r="BA372" s="87"/>
      <c r="BB372" s="442"/>
      <c r="BC372" s="89"/>
      <c r="BD372" s="446"/>
      <c r="BE372" s="446"/>
      <c r="BF372" s="89"/>
      <c r="BG372" s="447"/>
      <c r="BH372" s="447"/>
      <c r="BI372" s="443"/>
    </row>
    <row r="373" spans="1:78" x14ac:dyDescent="0.3">
      <c r="D373" s="16"/>
      <c r="E373" s="16"/>
      <c r="F373" s="67"/>
      <c r="G373" s="438"/>
      <c r="H373" s="438"/>
      <c r="I373" s="1344"/>
      <c r="J373" s="1345"/>
      <c r="K373" s="1346"/>
      <c r="L373" s="2603"/>
      <c r="M373" s="2603"/>
      <c r="N373" s="2603"/>
      <c r="O373" s="1347"/>
      <c r="P373" s="1364"/>
      <c r="Q373" s="1346"/>
      <c r="R373" s="1347"/>
      <c r="S373" s="1364"/>
      <c r="T373" s="1346"/>
      <c r="U373" s="1347"/>
      <c r="V373" s="145"/>
      <c r="W373" s="1387"/>
      <c r="X373" s="1388"/>
      <c r="Y373" s="1231"/>
      <c r="Z373" s="1231"/>
      <c r="AA373" s="1231"/>
      <c r="AB373" s="1231"/>
      <c r="AD373" s="10"/>
      <c r="AE373" s="10"/>
      <c r="AF373" s="10"/>
      <c r="AY373" s="734"/>
      <c r="AZ373" s="734"/>
      <c r="BA373" s="87"/>
      <c r="BB373" s="442"/>
      <c r="BC373" s="89"/>
      <c r="BD373" s="446"/>
      <c r="BE373" s="446"/>
      <c r="BF373" s="89"/>
      <c r="BG373" s="447"/>
      <c r="BH373" s="447"/>
      <c r="BI373" s="443"/>
    </row>
    <row r="374" spans="1:78" x14ac:dyDescent="0.3">
      <c r="B374" s="1699">
        <v>18</v>
      </c>
      <c r="D374" s="441" t="str">
        <f>'Cpts AR +indép + Sommaire'!B56</f>
        <v>Sujet personnel|intime partagé à l'enfant</v>
      </c>
      <c r="E374" s="84"/>
      <c r="F374" s="50"/>
      <c r="G374" s="18"/>
      <c r="H374" s="18"/>
      <c r="I374" s="2595" t="s">
        <v>604</v>
      </c>
      <c r="J374" s="2596"/>
      <c r="K374" s="2596"/>
      <c r="L374" s="2597" t="s">
        <v>1086</v>
      </c>
      <c r="M374" s="2597"/>
      <c r="N374" s="2597"/>
      <c r="O374" s="2598"/>
      <c r="P374" s="2599" t="s">
        <v>603</v>
      </c>
      <c r="Q374" s="2600"/>
      <c r="R374" s="2601"/>
      <c r="S374" s="2590" t="s">
        <v>605</v>
      </c>
      <c r="T374" s="2591"/>
      <c r="U374" s="2592"/>
      <c r="V374" s="15"/>
      <c r="W374" s="817"/>
      <c r="X374" s="817"/>
      <c r="Y374" s="817"/>
      <c r="Z374" s="817"/>
      <c r="AA374" s="817"/>
      <c r="AB374" s="818"/>
      <c r="AD374" s="10"/>
      <c r="AE374" s="10"/>
      <c r="AF374" s="10"/>
      <c r="AG374" s="1386" t="s">
        <v>604</v>
      </c>
      <c r="AH374" s="1386" t="s">
        <v>603</v>
      </c>
      <c r="AI374" s="1386" t="s">
        <v>605</v>
      </c>
      <c r="AJ374" s="2589" t="s">
        <v>604</v>
      </c>
      <c r="AK374" s="2589"/>
      <c r="AL374" s="2589" t="s">
        <v>603</v>
      </c>
      <c r="AM374" s="2589"/>
      <c r="AN374" s="2589" t="s">
        <v>605</v>
      </c>
      <c r="AO374" s="2589"/>
      <c r="AY374" s="734"/>
      <c r="AZ374" s="734"/>
      <c r="BA374" s="87"/>
      <c r="BB374" s="442"/>
      <c r="BC374" s="89"/>
      <c r="BD374" s="446"/>
      <c r="BE374" s="446"/>
      <c r="BF374" s="89"/>
      <c r="BG374" s="447"/>
      <c r="BH374" s="447"/>
      <c r="BI374" s="443"/>
    </row>
    <row r="375" spans="1:78" ht="36" x14ac:dyDescent="0.3">
      <c r="D375" s="79" t="s">
        <v>779</v>
      </c>
      <c r="E375" s="835" t="s">
        <v>778</v>
      </c>
      <c r="F375" s="26" t="s">
        <v>226</v>
      </c>
      <c r="G375" s="26" t="s">
        <v>22</v>
      </c>
      <c r="H375" s="26" t="s">
        <v>612</v>
      </c>
      <c r="I375" s="1348" t="s">
        <v>269</v>
      </c>
      <c r="J375" s="29" t="s">
        <v>270</v>
      </c>
      <c r="K375" s="29" t="s">
        <v>271</v>
      </c>
      <c r="L375" s="29" t="s">
        <v>363</v>
      </c>
      <c r="M375" s="29" t="s">
        <v>339</v>
      </c>
      <c r="N375" s="29" t="s">
        <v>340</v>
      </c>
      <c r="O375" s="1349" t="s">
        <v>341</v>
      </c>
      <c r="P375" s="1348" t="s">
        <v>269</v>
      </c>
      <c r="Q375" s="29" t="s">
        <v>270</v>
      </c>
      <c r="R375" s="1349" t="s">
        <v>271</v>
      </c>
      <c r="S375" s="1348" t="s">
        <v>269</v>
      </c>
      <c r="T375" s="29" t="s">
        <v>270</v>
      </c>
      <c r="U375" s="1349" t="s">
        <v>271</v>
      </c>
      <c r="V375" s="736"/>
      <c r="W375" s="827" t="s">
        <v>604</v>
      </c>
      <c r="X375" s="828" t="s">
        <v>754</v>
      </c>
      <c r="Y375" s="827" t="s">
        <v>603</v>
      </c>
      <c r="Z375" s="828" t="s">
        <v>755</v>
      </c>
      <c r="AA375" s="827" t="s">
        <v>605</v>
      </c>
      <c r="AB375" s="828" t="s">
        <v>756</v>
      </c>
      <c r="AD375" s="10"/>
      <c r="AE375" s="10"/>
      <c r="AF375" s="10"/>
      <c r="AG375" s="10"/>
      <c r="AH375" s="10"/>
      <c r="AI375" s="10"/>
      <c r="AJ375" s="1490" t="s">
        <v>1058</v>
      </c>
      <c r="AK375" s="1490" t="s">
        <v>1059</v>
      </c>
      <c r="AL375" s="1490" t="s">
        <v>1058</v>
      </c>
      <c r="AM375" s="1490" t="s">
        <v>1059</v>
      </c>
      <c r="AN375" s="1490" t="s">
        <v>1058</v>
      </c>
      <c r="AO375" s="1490" t="s">
        <v>1059</v>
      </c>
      <c r="AY375" s="734"/>
      <c r="AZ375" s="734"/>
      <c r="BA375" s="87"/>
      <c r="BB375" s="442"/>
      <c r="BC375" s="89"/>
      <c r="BD375" s="446"/>
      <c r="BE375" s="446"/>
      <c r="BF375" s="89"/>
      <c r="BG375" s="447"/>
      <c r="BH375" s="447"/>
      <c r="BI375" s="443"/>
    </row>
    <row r="376" spans="1:78" ht="51" x14ac:dyDescent="0.2">
      <c r="A376" t="str">
        <f>IF(Test_Bible!B245="","F","O")</f>
        <v>O</v>
      </c>
      <c r="B376" s="1700" t="str">
        <f>'Cpts AR +indép + Sommaire'!G56</f>
        <v>Parentification</v>
      </c>
      <c r="C376" s="379" t="str">
        <f>'Cpts AR +indép + Sommaire'!C56</f>
        <v>PFA31a1</v>
      </c>
      <c r="D376" s="698" t="str">
        <f>'Cpts AR +indép + Sommaire'!D56</f>
        <v>Dans quelle mesure diriez-vous que l'autre parent se confie à votre enfant sur des sujets qui vous sont personnels ou qui concernent votre passé (intime) ?</v>
      </c>
      <c r="E376" s="78" t="s">
        <v>646</v>
      </c>
      <c r="F376" s="709">
        <f>'Cpts AR +indép + Sommaire'!E56</f>
        <v>4</v>
      </c>
      <c r="G376" s="709">
        <f>'Cpts AR +indép + Sommaire'!F56</f>
        <v>2</v>
      </c>
      <c r="H376" s="709">
        <f>F376*G376</f>
        <v>8</v>
      </c>
      <c r="I376" s="1350">
        <v>7</v>
      </c>
      <c r="J376" s="1343">
        <v>10</v>
      </c>
      <c r="K376" s="31" t="b">
        <f>IF(AND(F376&gt;=I376,F376&lt;=J376),TRUE,FALSE)</f>
        <v>0</v>
      </c>
      <c r="L376" s="31"/>
      <c r="M376" s="31"/>
      <c r="N376" s="31"/>
      <c r="O376" s="1351"/>
      <c r="P376" s="1350">
        <v>2</v>
      </c>
      <c r="Q376" s="1343">
        <v>7</v>
      </c>
      <c r="R376" s="1351" t="b">
        <f>IF(AND(F376&gt;=P376,F376&lt;=Q376),TRUE,FALSE)</f>
        <v>1</v>
      </c>
      <c r="S376" s="1374">
        <v>11</v>
      </c>
      <c r="T376" s="1375">
        <v>11</v>
      </c>
      <c r="U376" s="1351" t="b">
        <f>IF(AND(F376&gt;=S376,F376&lt;=T376),TRUE,FALSE)</f>
        <v>0</v>
      </c>
      <c r="V376" s="807"/>
      <c r="W376" s="819"/>
      <c r="X376" s="820"/>
      <c r="Y376" s="819"/>
      <c r="Z376" s="820"/>
      <c r="AA376" s="819"/>
      <c r="AB376" s="820"/>
      <c r="AD376" s="10"/>
      <c r="AE376" s="10"/>
      <c r="AF376" s="10"/>
      <c r="AG376" s="832">
        <f>IF($K376=TRUE,H376,0)</f>
        <v>0</v>
      </c>
      <c r="AH376" s="832">
        <f>IF($R376=TRUE,H376,0)</f>
        <v>8</v>
      </c>
      <c r="AI376" s="832">
        <f>IF($U376=TRUE,H376,0)</f>
        <v>0</v>
      </c>
      <c r="AJ376" s="1490">
        <f t="shared" ref="AJ376:AJ377" si="755">IF(OR(I376=11,A376="F"),0,G376*I376)</f>
        <v>14</v>
      </c>
      <c r="AK376" s="1490">
        <f t="shared" ref="AK376:AK377" si="756">IF(OR(J376=11,A376="F"),0,G376*J376)</f>
        <v>20</v>
      </c>
      <c r="AL376" s="1490">
        <f t="shared" ref="AL376:AL377" si="757">IF(OR(P376=11,A376="F"),0,G376*P376)</f>
        <v>4</v>
      </c>
      <c r="AM376" s="1490">
        <f t="shared" ref="AM376:AM377" si="758">IF(OR(Q376=11,A376="F"),0,G376*Q376)</f>
        <v>14</v>
      </c>
      <c r="AN376" s="1490">
        <f t="shared" ref="AN376:AN377" si="759">IF(OR(S376=11,A376="F"),0,S376*G376)</f>
        <v>0</v>
      </c>
      <c r="AO376" s="1490">
        <f t="shared" ref="AO376:AO377" si="760">IF(OR(T376=11,A376="F"),0,T376*G376)</f>
        <v>0</v>
      </c>
      <c r="AY376" s="734"/>
      <c r="AZ376" s="734"/>
      <c r="BA376" s="87"/>
      <c r="BB376" s="442"/>
      <c r="BC376" s="89"/>
      <c r="BD376" s="446"/>
      <c r="BE376" s="446"/>
      <c r="BF376" s="89"/>
      <c r="BG376" s="447"/>
      <c r="BH376" s="447"/>
      <c r="BI376" s="443"/>
    </row>
    <row r="377" spans="1:78" ht="19" x14ac:dyDescent="0.2">
      <c r="B377" s="1531"/>
      <c r="C377" s="379" t="s">
        <v>260</v>
      </c>
      <c r="D377" s="25"/>
      <c r="E377" s="78"/>
      <c r="F377" s="709"/>
      <c r="G377" s="708"/>
      <c r="H377" s="709">
        <f>F377*G377</f>
        <v>0</v>
      </c>
      <c r="I377" s="1374">
        <v>11</v>
      </c>
      <c r="J377" s="1375">
        <v>11</v>
      </c>
      <c r="K377" s="31" t="b">
        <f>IF(AND(F377&gt;=I377,F377&lt;=J377),TRUE,FALSE)</f>
        <v>0</v>
      </c>
      <c r="L377" s="31"/>
      <c r="M377" s="31"/>
      <c r="N377" s="31"/>
      <c r="O377" s="1351"/>
      <c r="P377" s="1374">
        <v>11</v>
      </c>
      <c r="Q377" s="1375">
        <v>11</v>
      </c>
      <c r="R377" s="1351" t="b">
        <f>IF(AND(F377&gt;=P377,F377&lt;=Q377),TRUE,FALSE)</f>
        <v>0</v>
      </c>
      <c r="S377" s="1374">
        <v>11</v>
      </c>
      <c r="T377" s="1375">
        <v>11</v>
      </c>
      <c r="U377" s="1351" t="b">
        <f>IF(AND(F377&gt;=S377,F377&lt;=T377),TRUE,FALSE)</f>
        <v>0</v>
      </c>
      <c r="V377" s="807"/>
      <c r="W377" s="821"/>
      <c r="X377" s="822"/>
      <c r="Y377" s="821"/>
      <c r="Z377" s="822"/>
      <c r="AA377" s="821"/>
      <c r="AB377" s="822"/>
      <c r="AD377" s="10"/>
      <c r="AE377" s="10"/>
      <c r="AF377" s="10"/>
      <c r="AG377" s="832">
        <f>IF($K377=TRUE,H377,0)</f>
        <v>0</v>
      </c>
      <c r="AH377" s="832">
        <f>IF($R377=TRUE,H377,0)</f>
        <v>0</v>
      </c>
      <c r="AI377" s="832">
        <f>IF($U377=TRUE,H377,0)</f>
        <v>0</v>
      </c>
      <c r="AJ377" s="1490">
        <f t="shared" si="755"/>
        <v>0</v>
      </c>
      <c r="AK377" s="1490">
        <f t="shared" si="756"/>
        <v>0</v>
      </c>
      <c r="AL377" s="1490">
        <f t="shared" si="757"/>
        <v>0</v>
      </c>
      <c r="AM377" s="1490">
        <f t="shared" si="758"/>
        <v>0</v>
      </c>
      <c r="AN377" s="1490">
        <f t="shared" si="759"/>
        <v>0</v>
      </c>
      <c r="AO377" s="1490">
        <f t="shared" si="760"/>
        <v>0</v>
      </c>
      <c r="AY377" s="734"/>
      <c r="AZ377" s="734"/>
      <c r="BA377" s="87"/>
      <c r="BB377" s="442"/>
      <c r="BC377" s="89"/>
      <c r="BD377" s="446"/>
      <c r="BE377" s="446"/>
      <c r="BF377" s="89"/>
      <c r="BG377" s="447"/>
      <c r="BH377" s="447"/>
      <c r="BI377" s="443"/>
    </row>
    <row r="378" spans="1:78" ht="51" x14ac:dyDescent="0.2">
      <c r="B378" s="1702"/>
      <c r="C378" s="710" t="s">
        <v>609</v>
      </c>
      <c r="D378" s="711" t="str">
        <f>_xlfn.XLOOKUP(H378,H376:H377,D376:D377)</f>
        <v>Dans quelle mesure diriez-vous que l'autre parent se confie à votre enfant sur des sujets qui vous sont personnels ou qui concernent votre passé (intime) ?</v>
      </c>
      <c r="E378" s="712" t="str">
        <f>_xlfn.XLOOKUP(H378,H376:H377,E376:E377)</f>
        <v>se confie à l'enfant sur des sujets personnels</v>
      </c>
      <c r="F378" s="713"/>
      <c r="G378" s="713"/>
      <c r="H378" s="713">
        <f>IF(AND(K376=TRUE,K377=FALSE),H376,IF(AND(K376=FALSE,K377=TRUE),H377,MAX(H376,H377)))</f>
        <v>8</v>
      </c>
      <c r="I378" s="1352"/>
      <c r="J378" s="714"/>
      <c r="K378" s="715" t="b">
        <f>IF(AND(K376=FALSE,K377=FALSE),FALSE,TRUE)</f>
        <v>0</v>
      </c>
      <c r="L378" s="31"/>
      <c r="M378" s="31"/>
      <c r="N378" s="31"/>
      <c r="O378" s="1351"/>
      <c r="P378" s="1352"/>
      <c r="Q378" s="714"/>
      <c r="R378" s="1365" t="b">
        <f>IF(AND(R376=FALSE,R377=FALSE),FALSE,TRUE)</f>
        <v>1</v>
      </c>
      <c r="S378" s="1352"/>
      <c r="T378" s="714"/>
      <c r="U378" s="1365" t="b">
        <f>IF(AND(U376=FALSE,U377=FALSE),FALSE,TRUE)</f>
        <v>0</v>
      </c>
      <c r="V378" s="807"/>
      <c r="W378" s="821"/>
      <c r="X378" s="822"/>
      <c r="Y378" s="821"/>
      <c r="Z378" s="822"/>
      <c r="AA378" s="821"/>
      <c r="AB378" s="822"/>
      <c r="AD378" s="10"/>
      <c r="AE378" s="10"/>
      <c r="AF378" s="10"/>
      <c r="AG378" s="1740">
        <f>IF($K378=TRUE,MAX(AG376:AG377),0)</f>
        <v>0</v>
      </c>
      <c r="AH378" s="1740">
        <f>IF($R378=TRUE,MAX(AH376:AH377),0)</f>
        <v>8</v>
      </c>
      <c r="AI378" s="1740">
        <f>IF($U378=TRUE,MAX(AI376:AI377),0)</f>
        <v>0</v>
      </c>
      <c r="AJ378" s="1739">
        <f>MAX(AJ376:AJ377)</f>
        <v>14</v>
      </c>
      <c r="AK378" s="1739">
        <f t="shared" ref="AK378" si="761">MAX(AK376:AK377)</f>
        <v>20</v>
      </c>
      <c r="AL378" s="1739">
        <f t="shared" ref="AL378" si="762">MAX(AL376:AL377)</f>
        <v>4</v>
      </c>
      <c r="AM378" s="1739">
        <f t="shared" ref="AM378" si="763">MAX(AM376:AM377)</f>
        <v>14</v>
      </c>
      <c r="AN378" s="1739">
        <f t="shared" ref="AN378" si="764">MAX(AN376:AN377)</f>
        <v>0</v>
      </c>
      <c r="AO378" s="1739">
        <f t="shared" ref="AO378" si="765">MAX(AO376:AO377)</f>
        <v>0</v>
      </c>
      <c r="AY378" s="734"/>
      <c r="AZ378" s="734"/>
      <c r="BA378" s="87"/>
      <c r="BB378" s="442"/>
      <c r="BC378" s="89"/>
      <c r="BD378" s="446"/>
      <c r="BE378" s="446"/>
      <c r="BF378" s="89"/>
      <c r="BG378" s="447"/>
      <c r="BH378" s="447"/>
      <c r="BI378" s="443"/>
    </row>
    <row r="379" spans="1:78" ht="19" x14ac:dyDescent="0.2">
      <c r="B379" s="1531"/>
      <c r="C379" s="38" t="s">
        <v>242</v>
      </c>
      <c r="D379" s="25"/>
      <c r="E379" s="78"/>
      <c r="F379" s="709"/>
      <c r="G379" s="708"/>
      <c r="H379" s="709">
        <f>F379*G379</f>
        <v>0</v>
      </c>
      <c r="I379" s="1374">
        <v>11</v>
      </c>
      <c r="J379" s="1375">
        <v>11</v>
      </c>
      <c r="K379" s="31" t="b">
        <f>IF(AND(F379&gt;=I379,F379&lt;=J379),TRUE,FALSE)</f>
        <v>0</v>
      </c>
      <c r="L379" s="31"/>
      <c r="M379" s="31"/>
      <c r="N379" s="31"/>
      <c r="O379" s="1351"/>
      <c r="P379" s="1374">
        <v>11</v>
      </c>
      <c r="Q379" s="1375">
        <v>11</v>
      </c>
      <c r="R379" s="1351" t="b">
        <f>IF(AND(F379&gt;=P379,F379&lt;=Q379),TRUE,FALSE)</f>
        <v>0</v>
      </c>
      <c r="S379" s="1374">
        <v>11</v>
      </c>
      <c r="T379" s="1375">
        <v>11</v>
      </c>
      <c r="U379" s="1351" t="b">
        <f>IF(AND(F379&gt;=S379,F379&lt;=T379),TRUE,FALSE)</f>
        <v>0</v>
      </c>
      <c r="V379" s="807"/>
      <c r="W379" s="821"/>
      <c r="X379" s="822"/>
      <c r="Y379" s="821"/>
      <c r="Z379" s="822"/>
      <c r="AA379" s="821"/>
      <c r="AB379" s="822"/>
      <c r="AD379" s="10"/>
      <c r="AE379" s="10"/>
      <c r="AF379" s="10"/>
      <c r="AG379" s="832">
        <f>IF(K379=TRUE,H379,0)</f>
        <v>0</v>
      </c>
      <c r="AH379" s="832">
        <f>IF(R379=TRUE,H379,0)</f>
        <v>0</v>
      </c>
      <c r="AI379" s="832">
        <f>IF(U379=TRUE,H379,0)</f>
        <v>0</v>
      </c>
      <c r="AJ379" s="1490">
        <f t="shared" ref="AJ379:AJ380" si="766">IF(OR(I379=11,A379="F"),0,G379*I379)</f>
        <v>0</v>
      </c>
      <c r="AK379" s="1490">
        <f t="shared" ref="AK379:AK380" si="767">IF(OR(J379=11,A379="F"),0,G379*J379)</f>
        <v>0</v>
      </c>
      <c r="AL379" s="1490">
        <f t="shared" ref="AL379:AL380" si="768">IF(OR(P379=11,A379="F"),0,G379*P379)</f>
        <v>0</v>
      </c>
      <c r="AM379" s="1490">
        <f t="shared" ref="AM379:AM380" si="769">IF(OR(Q379=11,A379="F"),0,G379*Q379)</f>
        <v>0</v>
      </c>
      <c r="AN379" s="1490">
        <f t="shared" ref="AN379:AN380" si="770">IF(OR(S379=11,A379="F"),0,S379*G379)</f>
        <v>0</v>
      </c>
      <c r="AO379" s="1490">
        <f t="shared" ref="AO379:AO380" si="771">IF(OR(T379=11,A379="F"),0,T379*G379)</f>
        <v>0</v>
      </c>
      <c r="AY379" s="734"/>
      <c r="AZ379" s="734"/>
      <c r="BA379" s="87"/>
      <c r="BB379" s="442"/>
      <c r="BC379" s="89"/>
      <c r="BD379" s="446"/>
      <c r="BE379" s="446"/>
      <c r="BF379" s="89"/>
      <c r="BG379" s="447"/>
      <c r="BH379" s="447"/>
      <c r="BI379" s="443"/>
    </row>
    <row r="380" spans="1:78" ht="19" x14ac:dyDescent="0.2">
      <c r="B380" s="1700"/>
      <c r="C380" s="38" t="s">
        <v>242</v>
      </c>
      <c r="D380" s="25"/>
      <c r="E380" s="48"/>
      <c r="F380" s="27"/>
      <c r="G380" s="27"/>
      <c r="H380" s="27">
        <f>F380*G380</f>
        <v>0</v>
      </c>
      <c r="I380" s="1374">
        <v>11</v>
      </c>
      <c r="J380" s="1375">
        <v>11</v>
      </c>
      <c r="K380" s="31" t="b">
        <f>IF(AND(F380&gt;=I380,F380&lt;=J380),TRUE,FALSE)</f>
        <v>0</v>
      </c>
      <c r="L380" s="31"/>
      <c r="M380" s="31"/>
      <c r="N380" s="31"/>
      <c r="O380" s="1351"/>
      <c r="P380" s="1374">
        <v>11</v>
      </c>
      <c r="Q380" s="1375">
        <v>11</v>
      </c>
      <c r="R380" s="1351" t="b">
        <f>IF(AND(F380&gt;=P380,F380&lt;=Q380),TRUE,FALSE)</f>
        <v>0</v>
      </c>
      <c r="S380" s="1374">
        <v>11</v>
      </c>
      <c r="T380" s="1375">
        <v>11</v>
      </c>
      <c r="U380" s="1351" t="b">
        <f>IF(AND(F380&gt;=S380,F380&lt;=T380),TRUE,FALSE)</f>
        <v>0</v>
      </c>
      <c r="V380" s="807"/>
      <c r="W380" s="821"/>
      <c r="X380" s="822"/>
      <c r="Y380" s="821"/>
      <c r="Z380" s="822"/>
      <c r="AA380" s="821"/>
      <c r="AB380" s="822"/>
      <c r="AD380" s="10"/>
      <c r="AE380" s="10"/>
      <c r="AF380" s="10"/>
      <c r="AG380" s="832">
        <f>IF(K380=TRUE,H380,0)</f>
        <v>0</v>
      </c>
      <c r="AH380" s="832">
        <f>IF(R380=TRUE,H380,0)</f>
        <v>0</v>
      </c>
      <c r="AI380" s="832">
        <f>IF(U380=TRUE,H380,0)</f>
        <v>0</v>
      </c>
      <c r="AJ380" s="1490">
        <f t="shared" si="766"/>
        <v>0</v>
      </c>
      <c r="AK380" s="1490">
        <f t="shared" si="767"/>
        <v>0</v>
      </c>
      <c r="AL380" s="1490">
        <f t="shared" si="768"/>
        <v>0</v>
      </c>
      <c r="AM380" s="1490">
        <f t="shared" si="769"/>
        <v>0</v>
      </c>
      <c r="AN380" s="1490">
        <f t="shared" si="770"/>
        <v>0</v>
      </c>
      <c r="AO380" s="1490">
        <f t="shared" si="771"/>
        <v>0</v>
      </c>
      <c r="AV380" s="7"/>
      <c r="AX380" s="7"/>
      <c r="AY380" s="734"/>
      <c r="AZ380" s="734"/>
      <c r="BA380" s="87"/>
      <c r="BB380" s="442"/>
      <c r="BC380" s="89"/>
      <c r="BD380" s="446"/>
      <c r="BE380" s="446"/>
      <c r="BF380" s="89"/>
      <c r="BG380" s="447"/>
      <c r="BH380" s="447"/>
      <c r="BI380" s="443"/>
      <c r="BN380" s="25"/>
      <c r="BP380" s="7"/>
      <c r="BQ380" s="7"/>
      <c r="BR380" s="7"/>
      <c r="BS380" s="7"/>
      <c r="BT380" s="7"/>
      <c r="BU380" s="7"/>
      <c r="BV380" s="7"/>
      <c r="BW380" s="7"/>
      <c r="BX380" s="7"/>
      <c r="BY380" s="7"/>
      <c r="BZ380" s="7"/>
    </row>
    <row r="381" spans="1:78" ht="20" thickBot="1" x14ac:dyDescent="0.25">
      <c r="B381" s="1700"/>
      <c r="C381" s="716" t="s">
        <v>610</v>
      </c>
      <c r="D381" s="717">
        <f>_xlfn.XLOOKUP(H381,H379:H380,D379:D380)</f>
        <v>0</v>
      </c>
      <c r="E381" s="718">
        <f>_xlfn.XLOOKUP(H381,H379:H380,E379:E380)</f>
        <v>0</v>
      </c>
      <c r="F381" s="719"/>
      <c r="G381" s="719"/>
      <c r="H381" s="713">
        <f>IF(AND(K379=TRUE,K380=FALSE),H379,IF(AND(K379=FALSE,K380=TRUE),H380,MAX(H379,H380)))</f>
        <v>0</v>
      </c>
      <c r="I381" s="1353"/>
      <c r="J381" s="720"/>
      <c r="K381" s="721" t="b">
        <f>IF(AND(K379=FALSE,K380=FALSE),FALSE,TRUE)</f>
        <v>0</v>
      </c>
      <c r="L381" s="31"/>
      <c r="M381" s="31"/>
      <c r="N381" s="31"/>
      <c r="O381" s="1351"/>
      <c r="P381" s="1353"/>
      <c r="Q381" s="720"/>
      <c r="R381" s="1366" t="b">
        <f>IF(AND(R379=FALSE,R380=FALSE),FALSE,TRUE)</f>
        <v>0</v>
      </c>
      <c r="S381" s="1353"/>
      <c r="T381" s="720"/>
      <c r="U381" s="1366" t="b">
        <f>IF(AND(U379=FALSE,U380=FALSE),FALSE,TRUE)</f>
        <v>0</v>
      </c>
      <c r="V381" s="807"/>
      <c r="W381" s="821"/>
      <c r="X381" s="822"/>
      <c r="Y381" s="821"/>
      <c r="Z381" s="822"/>
      <c r="AA381" s="821"/>
      <c r="AB381" s="822"/>
      <c r="AD381" s="10"/>
      <c r="AE381" s="10"/>
      <c r="AF381" s="10"/>
      <c r="AG381" s="1740">
        <f>IF($K381=TRUE,MAX(AG379:AG380),0)</f>
        <v>0</v>
      </c>
      <c r="AH381" s="1740">
        <f>IF($R381=TRUE,MAX(AH379:AH380),0)</f>
        <v>0</v>
      </c>
      <c r="AI381" s="1740">
        <f>IF($U381=TRUE,MAX(AI379:AI380),0)</f>
        <v>0</v>
      </c>
      <c r="AJ381" s="1739">
        <f>MAX(AJ379:AJ380)</f>
        <v>0</v>
      </c>
      <c r="AK381" s="1739">
        <f t="shared" ref="AK381" si="772">MAX(AK379:AK380)</f>
        <v>0</v>
      </c>
      <c r="AL381" s="1739">
        <f t="shared" ref="AL381" si="773">MAX(AL379:AL380)</f>
        <v>0</v>
      </c>
      <c r="AM381" s="1739">
        <f t="shared" ref="AM381" si="774">MAX(AM379:AM380)</f>
        <v>0</v>
      </c>
      <c r="AN381" s="1739">
        <f t="shared" ref="AN381" si="775">MAX(AN379:AN380)</f>
        <v>0</v>
      </c>
      <c r="AO381" s="1739">
        <f t="shared" ref="AO381" si="776">MAX(AO379:AO380)</f>
        <v>0</v>
      </c>
      <c r="AV381" s="7"/>
      <c r="AX381" s="7"/>
      <c r="AY381" s="734"/>
      <c r="AZ381" s="734"/>
      <c r="BA381" s="87"/>
      <c r="BB381" s="442"/>
      <c r="BC381" s="89"/>
      <c r="BD381" s="446"/>
      <c r="BE381" s="446"/>
      <c r="BF381" s="89"/>
      <c r="BG381" s="447"/>
      <c r="BH381" s="447"/>
      <c r="BI381" s="443"/>
      <c r="BN381" s="25"/>
      <c r="BP381" s="7"/>
      <c r="BQ381" s="7"/>
      <c r="BR381" s="7"/>
      <c r="BS381" s="7"/>
      <c r="BT381" s="7"/>
      <c r="BU381" s="7"/>
      <c r="BV381" s="7"/>
      <c r="BW381" s="7"/>
      <c r="BX381" s="7"/>
      <c r="BY381" s="7"/>
      <c r="BZ381" s="7"/>
    </row>
    <row r="382" spans="1:78" ht="35" thickBot="1" x14ac:dyDescent="0.25">
      <c r="B382" s="1700"/>
      <c r="C382" s="722" t="s">
        <v>616</v>
      </c>
      <c r="D382" s="723"/>
      <c r="E382" s="723" t="str">
        <f>IF(H382=H378,E378,E381)</f>
        <v>se confie à l'enfant sur des sujets personnels</v>
      </c>
      <c r="F382" s="724"/>
      <c r="G382" s="724"/>
      <c r="H382" s="724">
        <f>IF(AND(K378=TRUE,K381=FALSE),H378,IF(AND(K378=FALSE,K381=TRUE),H381,IF(AND(K378=TRUE,K381=TRUE),H378+H381,MAX(H378,H381))))</f>
        <v>8</v>
      </c>
      <c r="I382" s="1354"/>
      <c r="J382" s="725"/>
      <c r="K382" s="726" t="b">
        <f>IF(AND(K378=FALSE,K381=FALSE),FALSE,TRUE)</f>
        <v>0</v>
      </c>
      <c r="L382" s="1338"/>
      <c r="M382" s="1338"/>
      <c r="N382" s="1338"/>
      <c r="O382" s="1355"/>
      <c r="P382" s="1354"/>
      <c r="Q382" s="725"/>
      <c r="R382" s="726" t="b">
        <f>IF(AND(R378=FALSE,R381=FALSE),FALSE,TRUE)</f>
        <v>1</v>
      </c>
      <c r="S382" s="1354"/>
      <c r="T382" s="725"/>
      <c r="U382" s="726" t="b">
        <f>IF(AND(U378=FALSE,U381=FALSE),FALSE,TRUE)</f>
        <v>0</v>
      </c>
      <c r="V382" s="807"/>
      <c r="W382" s="821" t="str">
        <f>IF(K382=TRUE,"V","F")</f>
        <v>F</v>
      </c>
      <c r="X382" s="822"/>
      <c r="Y382" s="821" t="str">
        <f>IF(R382=TRUE,"V","F")</f>
        <v>V</v>
      </c>
      <c r="Z382" s="822"/>
      <c r="AA382" s="821" t="str">
        <f>IF(U382=TRUE,"V","F")</f>
        <v>F</v>
      </c>
      <c r="AB382" s="822"/>
      <c r="AC382" t="str">
        <f>IF(OR(W382="V",Y382="V"),IF(H381&gt;H378,"Le NC contribue plus que le coparent","Le coparent joue un plus grand rôle que le NC"),"pas de contexte significatif de la part du coparent et NC")</f>
        <v>Le coparent joue un plus grand rôle que le NC</v>
      </c>
      <c r="AD382" s="10"/>
      <c r="AE382" s="10"/>
      <c r="AF382" s="10"/>
      <c r="AG382" s="591">
        <f>IF(AND($K378=TRUE,$K381=FALSE),AG378,IF(AND($K378=FALSE,$K381=TRUE),AG381,IF(AND($K378=TRUE,$K381=TRUE),AG378+AG381,0)))</f>
        <v>0</v>
      </c>
      <c r="AH382" s="591">
        <f>IF(AND($R378=TRUE,$R381=FALSE),AH378,IF(AND($R378=FALSE,$R381=TRUE),AH381,IF(AND($R378=TRUE,$R381=TRUE),AH378+AH381,0)))</f>
        <v>8</v>
      </c>
      <c r="AI382" s="591">
        <f>IF(AND($U378=TRUE,$U381=FALSE),AI378,IF(AND($U378=FALSE,$U381=TRUE),AI381,IF(AND($U378=TRUE,$U381=TRUE),AI378+AI381,0)))</f>
        <v>0</v>
      </c>
      <c r="AJ382" s="591">
        <f>IF(AND($K378=TRUE,$K381=FALSE),AJ378,IF(AND($K378=FALSE,$K381=TRUE),AJ381,IF(AND($K378=TRUE,$K381=TRUE),AJ378+AJ381,MAX(AJ378,AJ381))))</f>
        <v>14</v>
      </c>
      <c r="AK382" s="591">
        <f>IF(AND($K378=TRUE,$K381=FALSE),AK378,IF(AND($K378=FALSE,$K381=TRUE),AK381,IF(AND($K378=TRUE,$K381=TRUE),AK378+AK381,MAX(AK378,AK381))))</f>
        <v>20</v>
      </c>
      <c r="AL382" s="591">
        <f t="shared" ref="AL382" si="777">IF(AND($R378=TRUE,$R381=FALSE),AL378,IF(AND($R378=FALSE,$R381=TRUE),AL381,IF(AND($R378=TRUE,$R381=TRUE),AL378+AL381,MAX(AL378,AL381))))</f>
        <v>4</v>
      </c>
      <c r="AM382" s="591">
        <f t="shared" ref="AM382" si="778">IF(AND($R378=TRUE,$R381=FALSE),AM378,IF(AND($R378=FALSE,$R381=TRUE),AM381,IF(AND($R378=TRUE,$R381=TRUE),AM378+AM381,MAX(AM378,AM381))))</f>
        <v>14</v>
      </c>
      <c r="AN382" s="591">
        <f t="shared" ref="AN382" si="779">IF(AND($U378=TRUE,$U381=FALSE),AN378,IF(AND($U378=FALSE,$U381=TRUE),AN381,IF(AND($U378=TRUE,$U381=TRUE),AN378+AN381,MAX(AN378,AN381))))</f>
        <v>0</v>
      </c>
      <c r="AO382" s="591">
        <f t="shared" ref="AO382" si="780">IF(AND($U378=TRUE,$U381=FALSE),AO378,IF(AND($U378=FALSE,$U381=TRUE),AO381,IF(AND($U378=TRUE,$U381=TRUE),AO378+AO381,MAX(AO378,AO381))))</f>
        <v>0</v>
      </c>
      <c r="AV382" s="7"/>
      <c r="AX382" s="7"/>
      <c r="AY382" s="734"/>
      <c r="AZ382" s="734"/>
      <c r="BA382" s="87"/>
      <c r="BB382" s="442"/>
      <c r="BC382" s="89"/>
      <c r="BD382" s="446"/>
      <c r="BE382" s="446"/>
      <c r="BF382" s="89"/>
      <c r="BG382" s="447"/>
      <c r="BH382" s="447"/>
      <c r="BI382" s="443"/>
      <c r="BN382" s="25"/>
      <c r="BP382" s="7"/>
      <c r="BQ382" s="7"/>
      <c r="BR382" s="7"/>
      <c r="BS382" s="7"/>
      <c r="BT382" s="7"/>
      <c r="BU382" s="7"/>
      <c r="BV382" s="7"/>
      <c r="BW382" s="7"/>
      <c r="BX382" s="7"/>
      <c r="BY382" s="7"/>
      <c r="BZ382" s="7"/>
    </row>
    <row r="383" spans="1:78" ht="51" x14ac:dyDescent="0.2">
      <c r="A383" t="str">
        <f>IF(Test_Bible!B304="","F","O")</f>
        <v>O</v>
      </c>
      <c r="B383" s="1700" t="str">
        <f>'Cpts AR +indép + Sommaire'!S56</f>
        <v>Interférence lien affectif ou symbolique</v>
      </c>
      <c r="C383" s="287" t="str">
        <f>'Cpts AR +indép + Sommaire'!O56</f>
        <v>E22</v>
      </c>
      <c r="D383" s="25" t="str">
        <f>'Cpts AR +indép + Sommaire'!P56</f>
        <v>Votre enfant connait des informations personnelles ou intimes sur vous dont vous n'avez jamais discuté avec lui ou avec elle.</v>
      </c>
      <c r="E383" s="78" t="s">
        <v>647</v>
      </c>
      <c r="F383" s="709">
        <f>'Cpts AR +indép + Sommaire'!Q56</f>
        <v>2</v>
      </c>
      <c r="G383" s="709">
        <f>'Cpts AR +indép + Sommaire'!R56</f>
        <v>2</v>
      </c>
      <c r="H383" s="709">
        <f>F383*G383</f>
        <v>4</v>
      </c>
      <c r="I383" s="1350">
        <v>7</v>
      </c>
      <c r="J383" s="1343">
        <v>10</v>
      </c>
      <c r="K383" s="31" t="b">
        <f>IF(AND(F383&gt;=I383,F383&lt;=J383),TRUE,FALSE)</f>
        <v>0</v>
      </c>
      <c r="L383" s="31"/>
      <c r="M383" s="31"/>
      <c r="N383" s="31"/>
      <c r="O383" s="1351"/>
      <c r="P383" s="1350">
        <v>4</v>
      </c>
      <c r="Q383" s="1343">
        <v>7</v>
      </c>
      <c r="R383" s="1351" t="b">
        <f>IF(AND(F383&gt;=P383,F383&lt;=Q383),TRUE,FALSE)</f>
        <v>0</v>
      </c>
      <c r="S383" s="1350"/>
      <c r="T383" s="1343"/>
      <c r="U383" s="1351"/>
      <c r="V383" s="807"/>
      <c r="W383" s="821" t="s">
        <v>753</v>
      </c>
      <c r="X383" s="822"/>
      <c r="Y383" s="821"/>
      <c r="Z383" s="822"/>
      <c r="AA383" s="821"/>
      <c r="AB383" s="822"/>
      <c r="AD383" s="10"/>
      <c r="AE383" s="10"/>
      <c r="AF383" s="10"/>
      <c r="AG383" s="832">
        <f>IF($K383=TRUE,H383,0)</f>
        <v>0</v>
      </c>
      <c r="AH383" s="832">
        <f>IF($R383=TRUE,H383,0)</f>
        <v>0</v>
      </c>
      <c r="AI383" s="832"/>
      <c r="AJ383" s="1490">
        <f t="shared" ref="AJ383:AJ384" si="781">IF(OR(I383=11,A383="F"),0,G383*I383)</f>
        <v>14</v>
      </c>
      <c r="AK383" s="1490">
        <f t="shared" ref="AK383:AK384" si="782">IF(OR(J383=11,A383="F"),0,G383*J383)</f>
        <v>20</v>
      </c>
      <c r="AL383" s="1490">
        <f t="shared" ref="AL383:AL384" si="783">IF(OR(P383=11,A383="F"),0,G383*P383)</f>
        <v>8</v>
      </c>
      <c r="AM383" s="1490">
        <f t="shared" ref="AM383:AM384" si="784">IF(OR(Q383=11,A383="F"),0,G383*Q383)</f>
        <v>14</v>
      </c>
      <c r="AN383" s="1490">
        <f t="shared" ref="AN383:AN384" si="785">IF(OR(S383=11,A383="F"),0,S383*G383)</f>
        <v>0</v>
      </c>
      <c r="AO383" s="1490">
        <f t="shared" ref="AO383:AO384" si="786">IF(OR(T383=11,A383="F"),0,T383*G383)</f>
        <v>0</v>
      </c>
      <c r="AV383" s="7"/>
      <c r="AX383" s="7"/>
      <c r="AY383" s="734"/>
      <c r="AZ383" s="734"/>
      <c r="BA383" s="87"/>
      <c r="BB383" s="442"/>
      <c r="BC383" s="89"/>
      <c r="BD383" s="446"/>
      <c r="BE383" s="446"/>
      <c r="BF383" s="89"/>
      <c r="BG383" s="447"/>
      <c r="BH383" s="447"/>
      <c r="BI383" s="443"/>
      <c r="BN383" s="25"/>
      <c r="BP383" s="7"/>
      <c r="BQ383" s="7"/>
      <c r="BR383" s="7"/>
      <c r="BS383" s="7"/>
      <c r="BT383" s="7"/>
      <c r="BU383" s="7"/>
      <c r="BV383" s="7"/>
      <c r="BW383" s="7"/>
      <c r="BX383" s="7"/>
      <c r="BY383" s="7"/>
      <c r="BZ383" s="7"/>
    </row>
    <row r="384" spans="1:78" ht="20" thickBot="1" x14ac:dyDescent="0.25">
      <c r="B384" s="1700"/>
      <c r="C384" s="287" t="s">
        <v>272</v>
      </c>
      <c r="D384" s="25"/>
      <c r="E384" s="78"/>
      <c r="F384" s="709"/>
      <c r="G384" s="708"/>
      <c r="H384" s="709">
        <f>F384*G384</f>
        <v>0</v>
      </c>
      <c r="I384" s="1374">
        <v>11</v>
      </c>
      <c r="J384" s="1375">
        <v>11</v>
      </c>
      <c r="K384" s="31" t="b">
        <f>IF(AND(F384&gt;=I384,F384&lt;=J384),TRUE,FALSE)</f>
        <v>0</v>
      </c>
      <c r="L384" s="31"/>
      <c r="M384" s="31"/>
      <c r="N384" s="31"/>
      <c r="O384" s="1351"/>
      <c r="P384" s="1374">
        <v>11</v>
      </c>
      <c r="Q384" s="1375">
        <v>11</v>
      </c>
      <c r="R384" s="1351" t="b">
        <f>IF(AND(F384&gt;=P384,F384&lt;=Q384),TRUE,FALSE)</f>
        <v>0</v>
      </c>
      <c r="S384" s="1374"/>
      <c r="T384" s="1375"/>
      <c r="U384" s="1351"/>
      <c r="V384" s="807"/>
      <c r="W384" s="821"/>
      <c r="X384" s="822"/>
      <c r="Y384" s="821"/>
      <c r="Z384" s="822"/>
      <c r="AA384" s="821"/>
      <c r="AB384" s="822"/>
      <c r="AD384" s="10"/>
      <c r="AE384" s="10"/>
      <c r="AF384" s="10"/>
      <c r="AG384" s="832">
        <f>IF($K384=TRUE,H384,0)</f>
        <v>0</v>
      </c>
      <c r="AH384" s="832">
        <f>IF($R384=TRUE,H384,0)</f>
        <v>0</v>
      </c>
      <c r="AI384" s="832"/>
      <c r="AJ384" s="1490">
        <f t="shared" si="781"/>
        <v>0</v>
      </c>
      <c r="AK384" s="1490">
        <f t="shared" si="782"/>
        <v>0</v>
      </c>
      <c r="AL384" s="1490">
        <f t="shared" si="783"/>
        <v>0</v>
      </c>
      <c r="AM384" s="1490">
        <f t="shared" si="784"/>
        <v>0</v>
      </c>
      <c r="AN384" s="1490">
        <f t="shared" si="785"/>
        <v>0</v>
      </c>
      <c r="AO384" s="1490">
        <f t="shared" si="786"/>
        <v>0</v>
      </c>
      <c r="AV384" s="7"/>
      <c r="AX384" s="7"/>
      <c r="AY384" s="734"/>
      <c r="AZ384" s="734"/>
      <c r="BA384" s="87"/>
      <c r="BB384" s="442"/>
      <c r="BC384" s="89"/>
      <c r="BD384" s="446"/>
      <c r="BE384" s="446"/>
      <c r="BF384" s="89"/>
      <c r="BG384" s="447"/>
      <c r="BH384" s="447"/>
      <c r="BI384" s="443"/>
      <c r="BN384" s="25"/>
      <c r="BP384" s="7"/>
      <c r="BQ384" s="7"/>
      <c r="BR384" s="7"/>
      <c r="BS384" s="7"/>
      <c r="BT384" s="7"/>
      <c r="BU384" s="7"/>
      <c r="BV384" s="7"/>
      <c r="BW384" s="7"/>
      <c r="BX384" s="7"/>
      <c r="BY384" s="7"/>
      <c r="BZ384" s="7"/>
    </row>
    <row r="385" spans="1:78" ht="52" thickBot="1" x14ac:dyDescent="0.25">
      <c r="B385" s="1700"/>
      <c r="C385" s="727" t="s">
        <v>611</v>
      </c>
      <c r="D385" s="728" t="str">
        <f>_xlfn.XLOOKUP(H385,H383:H384,D383:D384)</f>
        <v>Votre enfant connait des informations personnelles ou intimes sur vous dont vous n'avez jamais discuté avec lui ou avec elle.</v>
      </c>
      <c r="E385" s="728" t="str">
        <f>_xlfn.XLOOKUP(H385,H383:H384,E383:E384)</f>
        <v>connait des informations personnelles sur vous que vous n'avez jamais discuté avec lui</v>
      </c>
      <c r="F385" s="729"/>
      <c r="G385" s="729"/>
      <c r="H385" s="729">
        <f>IF(AND(K383=TRUE,K384=FALSE),H383,IF(AND(K383=FALSE,K384=TRUE),H384,MAX(H383,H384)))</f>
        <v>4</v>
      </c>
      <c r="I385" s="1356"/>
      <c r="J385" s="730"/>
      <c r="K385" s="731" t="b">
        <f>IF(AND(K383=FALSE,K384=FALSE),FALSE,TRUE)</f>
        <v>0</v>
      </c>
      <c r="L385" s="1339"/>
      <c r="M385" s="1339"/>
      <c r="N385" s="1339"/>
      <c r="O385" s="1357"/>
      <c r="P385" s="1356"/>
      <c r="Q385" s="730"/>
      <c r="R385" s="731" t="b">
        <f>IF(AND(R383=FALSE,R384=FALSE),FALSE,TRUE)</f>
        <v>0</v>
      </c>
      <c r="S385" s="1356"/>
      <c r="T385" s="730"/>
      <c r="U385" s="731"/>
      <c r="V385" s="807"/>
      <c r="W385" s="821" t="str">
        <f>IF(K385=TRUE,"V","F")</f>
        <v>F</v>
      </c>
      <c r="X385" s="822"/>
      <c r="Y385" s="821" t="str">
        <f>IF(R385=TRUE,"V","F")</f>
        <v>F</v>
      </c>
      <c r="Z385" s="822"/>
      <c r="AA385" s="821"/>
      <c r="AB385" s="822"/>
      <c r="AD385" s="10"/>
      <c r="AE385" s="10"/>
      <c r="AF385" s="10"/>
      <c r="AG385" s="1742">
        <f>IF(AND($K383=TRUE,$K384=FALSE),AG383,IF(AND($K383=FALSE,$K384=TRUE),AG384,IF(AND($K383=TRUE,$K384=TRUE),MAX(AG383,AG384),0)))</f>
        <v>0</v>
      </c>
      <c r="AH385" s="1742">
        <f>IF(AND($R383=TRUE,$R384=FALSE),AH383,IF(AND($R383=FALSE,$R384=TRUE),AH384,IF(AND($R383=TRUE,$R384=TRUE),MAX(AH383,AH384),0)))</f>
        <v>0</v>
      </c>
      <c r="AI385" s="1742"/>
      <c r="AJ385" s="1742">
        <f>IF(AND($K383=TRUE,$K384=FALSE),AJ383,IF(AND($K383=FALSE,$K384=TRUE),AJ384,IF(AND($K383=TRUE,$K384=TRUE),MAX(AJ383,AJ384),0)))</f>
        <v>0</v>
      </c>
      <c r="AK385" s="1742">
        <f>IF(AND($K383=TRUE,$K384=FALSE),AK383,IF(AND($K383=FALSE,$K384=TRUE),AK384,IF(AND($K383=TRUE,$K384=TRUE),MAX(AK383,AK384),0)))</f>
        <v>0</v>
      </c>
      <c r="AL385" s="1742">
        <f t="shared" ref="AL385" si="787">IF(AND($R383=TRUE,$R384=FALSE),AL383,IF(AND($R383=FALSE,$R384=TRUE),AL384,IF(AND($R383=TRUE,$R384=TRUE),MAX(AL383,AL384),0)))</f>
        <v>0</v>
      </c>
      <c r="AM385" s="1742">
        <f t="shared" ref="AM385" si="788">IF(AND($R383=TRUE,$R384=FALSE),AM383,IF(AND($R383=FALSE,$R384=TRUE),AM384,IF(AND($R383=TRUE,$R384=TRUE),MAX(AM383,AM384),0)))</f>
        <v>0</v>
      </c>
      <c r="AN385" s="1742"/>
      <c r="AO385" s="1742"/>
      <c r="AV385" s="7"/>
      <c r="AX385" s="7"/>
      <c r="AY385" s="734"/>
      <c r="AZ385" s="734"/>
      <c r="BA385" s="87"/>
      <c r="BB385" s="442"/>
      <c r="BC385" s="89"/>
      <c r="BD385" s="446"/>
      <c r="BE385" s="446"/>
      <c r="BF385" s="89"/>
      <c r="BG385" s="447"/>
      <c r="BH385" s="447"/>
      <c r="BI385" s="443"/>
      <c r="BN385" s="25"/>
      <c r="BP385" s="7"/>
      <c r="BQ385" s="7"/>
      <c r="BR385" s="7"/>
      <c r="BS385" s="7"/>
      <c r="BT385" s="7"/>
      <c r="BU385" s="7"/>
      <c r="BV385" s="7"/>
      <c r="BW385" s="7"/>
      <c r="BX385" s="7"/>
      <c r="BY385" s="7"/>
      <c r="BZ385" s="7"/>
    </row>
    <row r="386" spans="1:78" ht="34" x14ac:dyDescent="0.2">
      <c r="B386" s="1700"/>
      <c r="D386" s="386" t="s">
        <v>273</v>
      </c>
      <c r="E386" s="705"/>
      <c r="F386" s="439" t="s">
        <v>349</v>
      </c>
      <c r="G386" s="33"/>
      <c r="H386" s="33">
        <f>IF(AND(K382=TRUE,K385=FALSE),H382,IF(AND(K382=FALSE,K385=TRUE),H385,IF(AND(K382=TRUE,K385=TRUE),H382+H385,MAX(H382,H385))))</f>
        <v>8</v>
      </c>
      <c r="I386" s="1358"/>
      <c r="J386" s="440"/>
      <c r="K386" s="1341"/>
      <c r="L386" s="1342" t="str">
        <f>IF(AND(K385=TRUE,K382=TRUE),E385,"")</f>
        <v/>
      </c>
      <c r="M386" s="1342" t="str">
        <f>IF(AND(K382=TRUE,K385=FALSE),"Bien que le parent "&amp;E382&amp;" l'enfant ne semble pas s'ingérer","")</f>
        <v/>
      </c>
      <c r="N386" s="1342" t="str">
        <f>IF(AND(K382=FALSE,K385=TRUE),E385&amp;" sans signe de la participation du parent favorisé et|ou nouveau conjoint.e","")</f>
        <v/>
      </c>
      <c r="O386" s="1359" t="str">
        <f>IF(AND(K382=FALSE,K385=FALSE),"aucun comportement significatif de cette nature","")</f>
        <v>aucun comportement significatif de cette nature</v>
      </c>
      <c r="P386" s="1358"/>
      <c r="Q386" s="440"/>
      <c r="R386" s="1367"/>
      <c r="S386" s="1358"/>
      <c r="T386" s="440"/>
      <c r="U386" s="1367"/>
      <c r="V386" s="145"/>
      <c r="W386" s="823"/>
      <c r="X386" s="824">
        <f>IF(AND(W382="V",W385="V"),2,IF(OR(W382="V",W385="V"),1,0))</f>
        <v>0</v>
      </c>
      <c r="Y386" s="823"/>
      <c r="Z386" s="824">
        <f>IF(OR(Y382="V",Y385="V"),1,0)</f>
        <v>1</v>
      </c>
      <c r="AA386" s="823"/>
      <c r="AB386" s="824"/>
      <c r="AD386" s="10"/>
      <c r="AE386" s="10"/>
      <c r="AF386" s="10"/>
      <c r="AG386" s="1738">
        <f>IF(AND($W382="V",$W385="F"),AG382,IF(AND($W382="F",$W385="V"),AG385,IF(AND($W382="V",$W385="V"),AG382+AG385,0)))</f>
        <v>0</v>
      </c>
      <c r="AH386" s="1738">
        <f>IF(AND($Y382="V",$Y385="F"),AH382,IF(AND($Y382="F",$Y385="V"),AH385,IF(AND($Y382="V",$Y385="V"),AH382+AH385,0)))</f>
        <v>8</v>
      </c>
      <c r="AI386" s="1738"/>
      <c r="AJ386" s="1738">
        <f>IF(AND($W382="V",$W385="F"),AJ382,IF(AND($W382="F",$W385="V"),AJ385,IF(AND($W382="V",$W385="V"),AJ382+AJ385,0)))</f>
        <v>0</v>
      </c>
      <c r="AK386" s="1738">
        <f>IF(AND($W382="V",$W385="F"),AK382,IF(AND($W382="F",$W385="V"),AK385,IF(AND($W382="V",$W385="V"),AK382+AK385,0)))</f>
        <v>0</v>
      </c>
      <c r="AL386" s="1738">
        <f>IF(AND($Y382="V",$Y385="F"),AL382,IF(AND($Y382="F",$Y385="V"),AL385,IF(AND($Y382="V",$Y385="V"),AL382+AL385,0)))</f>
        <v>4</v>
      </c>
      <c r="AM386" s="1738">
        <f>IF(AND($Y382="V",$Y385="F"),AM382,IF(AND($Y382="F",$Y385="V"),AM385,IF(AND($Y382="V",$Y385="V"),AM382+AM385,0)))</f>
        <v>14</v>
      </c>
      <c r="AN386" s="1738"/>
      <c r="AO386" s="1738"/>
      <c r="AY386" s="734"/>
      <c r="AZ386" s="734"/>
      <c r="BA386" s="87"/>
      <c r="BB386" s="442"/>
      <c r="BC386" s="89"/>
      <c r="BD386" s="446"/>
      <c r="BE386" s="446"/>
      <c r="BF386" s="89"/>
      <c r="BG386" s="447"/>
      <c r="BH386" s="447"/>
      <c r="BI386" s="443"/>
    </row>
    <row r="387" spans="1:78" ht="19" x14ac:dyDescent="0.2">
      <c r="B387" s="1700"/>
      <c r="C387" t="s">
        <v>238</v>
      </c>
      <c r="I387" s="122"/>
      <c r="L387" s="32"/>
      <c r="M387" s="32"/>
      <c r="N387" s="32"/>
      <c r="O387" s="1379"/>
      <c r="P387" s="122"/>
      <c r="R387" s="292"/>
      <c r="S387" s="122"/>
      <c r="U387" s="292"/>
      <c r="V387" s="32"/>
      <c r="W387" s="821"/>
      <c r="X387" s="822"/>
      <c r="Y387" s="821"/>
      <c r="Z387" s="822"/>
      <c r="AA387" s="821"/>
      <c r="AB387" s="822"/>
      <c r="AD387" s="10"/>
      <c r="AE387" s="10"/>
      <c r="AF387" s="10"/>
      <c r="AG387" s="832"/>
      <c r="AH387" s="832"/>
      <c r="AI387" s="832"/>
      <c r="AJ387" s="1490"/>
      <c r="AK387" s="1490"/>
      <c r="AL387" s="1490"/>
      <c r="AM387" s="1490"/>
      <c r="AN387" s="1490"/>
      <c r="AO387" s="1490"/>
      <c r="AY387" s="734"/>
      <c r="AZ387" s="734"/>
      <c r="BA387" s="87"/>
      <c r="BB387" s="442"/>
      <c r="BC387" s="89"/>
      <c r="BD387" s="446"/>
      <c r="BE387" s="446"/>
      <c r="BF387" s="89"/>
      <c r="BG387" s="447"/>
      <c r="BH387" s="447"/>
      <c r="BI387" s="443"/>
    </row>
    <row r="388" spans="1:78" ht="19" x14ac:dyDescent="0.2">
      <c r="B388" s="1700"/>
      <c r="C388" s="825"/>
      <c r="D388" s="829"/>
      <c r="E388" s="826"/>
      <c r="F388" s="830"/>
      <c r="G388" s="830"/>
      <c r="H388" s="830">
        <f>F388*G388</f>
        <v>0</v>
      </c>
      <c r="I388" s="1374">
        <v>11</v>
      </c>
      <c r="J388" s="1375">
        <v>11</v>
      </c>
      <c r="K388" s="31" t="b">
        <f>IF(AND(F388&gt;=I388,F388&lt;=J388),TRUE,FALSE)</f>
        <v>0</v>
      </c>
      <c r="L388" s="26"/>
      <c r="M388" s="26"/>
      <c r="N388" s="26"/>
      <c r="O388" s="1360"/>
      <c r="P388" s="1374">
        <v>11</v>
      </c>
      <c r="Q388" s="1375">
        <v>11</v>
      </c>
      <c r="R388" s="1351" t="b">
        <f>IF(AND(F388&gt;=P388,F388&lt;=Q388),TRUE,FALSE)</f>
        <v>0</v>
      </c>
      <c r="S388" s="1374">
        <v>11</v>
      </c>
      <c r="T388" s="1375">
        <v>11</v>
      </c>
      <c r="U388" s="1351" t="b">
        <f>IF(AND(F388&gt;=S388,F388&lt;=T388),TRUE,FALSE)</f>
        <v>0</v>
      </c>
      <c r="V388" s="32"/>
      <c r="W388" s="821"/>
      <c r="X388" s="822"/>
      <c r="Y388" s="821"/>
      <c r="Z388" s="822"/>
      <c r="AA388" s="821"/>
      <c r="AB388" s="822"/>
      <c r="AD388" s="10"/>
      <c r="AE388" s="10"/>
      <c r="AF388" s="10"/>
      <c r="AG388" s="832">
        <f>IF($K388=TRUE,H388,0)</f>
        <v>0</v>
      </c>
      <c r="AH388" s="832">
        <f>IF($R388=TRUE,H388,0)</f>
        <v>0</v>
      </c>
      <c r="AI388" s="832">
        <f>IF($U388=TRUE,H388,0)</f>
        <v>0</v>
      </c>
      <c r="AJ388" s="1490">
        <f t="shared" ref="AJ388:AJ389" si="789">IF(OR(I388=11,A388="F"),0,G388*I388)</f>
        <v>0</v>
      </c>
      <c r="AK388" s="1490">
        <f t="shared" ref="AK388:AK389" si="790">IF(OR(J388=11,A388="F"),0,G388*J388)</f>
        <v>0</v>
      </c>
      <c r="AL388" s="1490">
        <f t="shared" ref="AL388:AL389" si="791">IF(OR(P388=11,A388="F"),0,G388*P388)</f>
        <v>0</v>
      </c>
      <c r="AM388" s="1490">
        <f t="shared" ref="AM388:AM389" si="792">IF(OR(Q388=11,A388="F"),0,G388*Q388)</f>
        <v>0</v>
      </c>
      <c r="AN388" s="1490">
        <f t="shared" ref="AN388:AN389" si="793">IF(OR(S388=11,A388="F"),0,S388*G388)</f>
        <v>0</v>
      </c>
      <c r="AO388" s="1490">
        <f t="shared" ref="AO388:AO389" si="794">IF(OR(T388=11,A388="F"),0,T388*G388)</f>
        <v>0</v>
      </c>
      <c r="AY388" s="734"/>
      <c r="AZ388" s="734"/>
      <c r="BA388" s="87"/>
      <c r="BB388" s="442"/>
      <c r="BC388" s="89"/>
      <c r="BD388" s="446"/>
      <c r="BE388" s="446"/>
      <c r="BF388" s="89"/>
      <c r="BG388" s="447"/>
      <c r="BH388" s="447"/>
      <c r="BI388" s="443"/>
    </row>
    <row r="389" spans="1:78" ht="20" thickBot="1" x14ac:dyDescent="0.25">
      <c r="B389" s="1700"/>
      <c r="C389" s="825"/>
      <c r="D389" s="829"/>
      <c r="E389" s="826"/>
      <c r="F389" s="830"/>
      <c r="G389" s="830"/>
      <c r="H389" s="830">
        <f>F389*G389</f>
        <v>0</v>
      </c>
      <c r="I389" s="1374">
        <v>11</v>
      </c>
      <c r="J389" s="1375">
        <v>11</v>
      </c>
      <c r="K389" s="31" t="b">
        <f>IF(AND(F389&gt;=I389,F389&lt;=J389),TRUE,FALSE)</f>
        <v>0</v>
      </c>
      <c r="L389" s="26"/>
      <c r="M389" s="26"/>
      <c r="N389" s="26"/>
      <c r="O389" s="1360"/>
      <c r="P389" s="1374">
        <v>11</v>
      </c>
      <c r="Q389" s="1375">
        <v>11</v>
      </c>
      <c r="R389" s="1351" t="b">
        <f>IF(AND(F389&gt;=P389,F389&lt;=Q389),TRUE,FALSE)</f>
        <v>0</v>
      </c>
      <c r="S389" s="1374">
        <v>11</v>
      </c>
      <c r="T389" s="1375">
        <v>11</v>
      </c>
      <c r="U389" s="1351" t="b">
        <f>IF(AND(F389&gt;=S389,F389&lt;=T389),TRUE,FALSE)</f>
        <v>0</v>
      </c>
      <c r="W389" s="821"/>
      <c r="X389" s="822"/>
      <c r="Y389" s="821"/>
      <c r="Z389" s="822"/>
      <c r="AA389" s="821"/>
      <c r="AB389" s="822"/>
      <c r="AD389" s="10"/>
      <c r="AE389" s="10"/>
      <c r="AF389" s="10"/>
      <c r="AG389" s="832">
        <f>IF($K389=TRUE,H389,0)</f>
        <v>0</v>
      </c>
      <c r="AH389" s="832">
        <f>IF($R389=TRUE,H389,0)</f>
        <v>0</v>
      </c>
      <c r="AI389" s="832">
        <f>IF($U389=TRUE,H389,0)</f>
        <v>0</v>
      </c>
      <c r="AJ389" s="1490">
        <f t="shared" si="789"/>
        <v>0</v>
      </c>
      <c r="AK389" s="1490">
        <f t="shared" si="790"/>
        <v>0</v>
      </c>
      <c r="AL389" s="1490">
        <f t="shared" si="791"/>
        <v>0</v>
      </c>
      <c r="AM389" s="1490">
        <f t="shared" si="792"/>
        <v>0</v>
      </c>
      <c r="AN389" s="1490">
        <f t="shared" si="793"/>
        <v>0</v>
      </c>
      <c r="AO389" s="1490">
        <f t="shared" si="794"/>
        <v>0</v>
      </c>
      <c r="AY389" s="734"/>
      <c r="AZ389" s="734"/>
      <c r="BA389" s="87"/>
      <c r="BB389" s="442"/>
      <c r="BC389" s="89"/>
      <c r="BD389" s="446"/>
      <c r="BE389" s="446"/>
      <c r="BF389" s="89"/>
      <c r="BG389" s="447"/>
      <c r="BH389" s="447"/>
      <c r="BI389" s="443"/>
    </row>
    <row r="390" spans="1:78" ht="22" thickBot="1" x14ac:dyDescent="0.25">
      <c r="B390" s="1700"/>
      <c r="C390" s="7"/>
      <c r="D390" s="272"/>
      <c r="E390" s="272"/>
      <c r="F390" s="67"/>
      <c r="G390" s="16"/>
      <c r="H390" s="33">
        <f>IF(AND(K388=TRUE,K389=FALSE),H388,IF(AND(K388=FALSE,K389=TRUE),H389,MAX(H388,H389)))</f>
        <v>0</v>
      </c>
      <c r="I390" s="1371"/>
      <c r="J390" s="1372"/>
      <c r="K390" s="1378" t="b">
        <f>IF(AND(K388=FALSE,K389=FALSE),FALSE,TRUE)</f>
        <v>0</v>
      </c>
      <c r="L390" s="1361"/>
      <c r="M390" s="1362"/>
      <c r="N390" s="1362"/>
      <c r="O390" s="1363"/>
      <c r="P390" s="1371"/>
      <c r="Q390" s="1372"/>
      <c r="R390" s="1378" t="b">
        <f>IF(AND(R388=FALSE,R389=FALSE),FALSE,TRUE)</f>
        <v>0</v>
      </c>
      <c r="S390" s="1383"/>
      <c r="T390" s="1384"/>
      <c r="U390" s="1385" t="b">
        <f>IF(AND(U388=FALSE,U389=FALSE),FALSE,TRUE)</f>
        <v>0</v>
      </c>
      <c r="W390" s="1315" t="str">
        <f>IF(K390=TRUE,"V","F")</f>
        <v>F</v>
      </c>
      <c r="X390" s="1316"/>
      <c r="Y390" s="1315" t="str">
        <f>IF(R390=TRUE,"V","F")</f>
        <v>F</v>
      </c>
      <c r="Z390" s="1316"/>
      <c r="AA390" s="1315" t="str">
        <f>IF(U390=TRUE,"V","F")</f>
        <v>F</v>
      </c>
      <c r="AB390" s="1316"/>
      <c r="AD390" s="10"/>
      <c r="AE390" s="10"/>
      <c r="AF390" s="10"/>
      <c r="AG390" s="1742">
        <f>IF(AND($K388=TRUE,$K389=FALSE),AG388,IF(AND($K388=FALSE,$K389=TRUE),AG389,MAX(AG388,AG389)))</f>
        <v>0</v>
      </c>
      <c r="AH390" s="1742">
        <f>IF(AND($R388=TRUE,$R389=FALSE),AH388,IF(AND($R388=FALSE,$R389=TRUE),AH389,MAX(AH388,AH389)))</f>
        <v>0</v>
      </c>
      <c r="AI390" s="1742">
        <f>IF(AND($U388=TRUE,$U389=FALSE),AI388,IF(AND($U388=FALSE,$U389=TRUE),AI389,MAX(AI388,AI389)))</f>
        <v>0</v>
      </c>
      <c r="AJ390" s="1742">
        <f>IF(AND($K388=TRUE,$K389=FALSE),AJ388,IF(AND($K388=FALSE,$K389=TRUE),AJ389,MAX(AJ388,AJ389)))</f>
        <v>0</v>
      </c>
      <c r="AK390" s="1742">
        <f>IF(AND($K388=TRUE,$K389=FALSE),AK388,IF(AND($K388=FALSE,$K389=TRUE),AK389,MAX(AK388,AK389)))</f>
        <v>0</v>
      </c>
      <c r="AL390" s="1742">
        <f>IF(AND($R388=TRUE,$R389=FALSE),AL388,IF(AND($R388=FALSE,$R389=TRUE),AL389,MAX(AL388,AL389)))</f>
        <v>0</v>
      </c>
      <c r="AM390" s="1742">
        <f>IF(AND($R388=TRUE,$R389=FALSE),AM388,IF(AND($R388=FALSE,$R389=TRUE),AM389,MAX(AM388,AM389)))</f>
        <v>0</v>
      </c>
      <c r="AN390" s="1742">
        <f>IF(AND($U388=TRUE,$U389=FALSE),AN388,IF(AND($U388=FALSE,$U389=TRUE),AN389,MAX(AN388,AN389)))</f>
        <v>0</v>
      </c>
      <c r="AO390" s="1742">
        <f>IF(AND($U388=TRUE,$U389=FALSE),AO388,IF(AND($U388=FALSE,$U389=TRUE),AO389,MAX(AO388,AO389)))</f>
        <v>0</v>
      </c>
      <c r="AY390" s="734"/>
      <c r="AZ390" s="734"/>
      <c r="BA390" s="87"/>
      <c r="BB390" s="442"/>
      <c r="BC390" s="89"/>
      <c r="BD390" s="446"/>
      <c r="BE390" s="446"/>
      <c r="BF390" s="89"/>
      <c r="BG390" s="447"/>
      <c r="BH390" s="447"/>
      <c r="BI390" s="443"/>
    </row>
    <row r="391" spans="1:78" ht="27" thickBot="1" x14ac:dyDescent="0.35">
      <c r="D391" s="16"/>
      <c r="E391" s="16"/>
      <c r="F391" s="67"/>
      <c r="G391" s="438"/>
      <c r="H391" s="438"/>
      <c r="I391" s="8"/>
      <c r="J391" s="8"/>
      <c r="K391" s="808"/>
      <c r="L391" s="809"/>
      <c r="M391" s="809"/>
      <c r="N391" s="809"/>
      <c r="O391" s="809"/>
      <c r="P391" s="809"/>
      <c r="Q391" s="809"/>
      <c r="R391" s="809"/>
      <c r="S391" s="809"/>
      <c r="T391" s="809"/>
      <c r="U391" s="809"/>
      <c r="V391" s="809"/>
      <c r="W391" s="1376"/>
      <c r="X391" s="1377">
        <f>IF(AND(W390="V",W382="V"),X386-1,X386)</f>
        <v>0</v>
      </c>
      <c r="Y391" s="1376"/>
      <c r="Z391" s="1377">
        <f>IF(OR(Y382="V",Y385="V",Y390="V"),1,0)</f>
        <v>1</v>
      </c>
      <c r="AA391" s="1376"/>
      <c r="AB391" s="1377">
        <f>IF(AA382="V",1,IF(AA390="V",1,0))</f>
        <v>0</v>
      </c>
      <c r="AD391" s="10">
        <f>X391</f>
        <v>0</v>
      </c>
      <c r="AE391" s="10">
        <f>Z391</f>
        <v>1</v>
      </c>
      <c r="AF391" s="10">
        <f>AB391</f>
        <v>0</v>
      </c>
      <c r="AG391" s="1741">
        <f>IF($W390="F",AG386,AG386+AG390)</f>
        <v>0</v>
      </c>
      <c r="AH391" s="1741">
        <f>IF($Y390="F",AH386,AH386+AH390)</f>
        <v>8</v>
      </c>
      <c r="AI391" s="1741">
        <f>IF(AND($AA382="V",$AA390="F"),AI382,IF(AND($AA382="F",$AA390="V"),AI390,IF(AND($AA382="V",$AA390="V"),AI382+AI390,0)))</f>
        <v>0</v>
      </c>
      <c r="AJ391" s="1741">
        <f>IF($W390="F",AJ386,AJ386+AJ390)</f>
        <v>0</v>
      </c>
      <c r="AK391" s="1741">
        <f t="shared" ref="AK391" si="795">IF($W390="F",AK386,AK386+AK390)</f>
        <v>0</v>
      </c>
      <c r="AL391" s="1741">
        <f t="shared" ref="AL391" si="796">IF($Y390="F",AL386,AL386+AL390)</f>
        <v>4</v>
      </c>
      <c r="AM391" s="1741">
        <f t="shared" ref="AM391" si="797">IF($Y390="F",AM386,AM386+AM390)</f>
        <v>14</v>
      </c>
      <c r="AN391" s="1741">
        <f t="shared" ref="AN391" si="798">IF(AND($AA382="V",$AA390="F"),AN382,IF(AND($AA382="F",$AA390="V"),AN390,IF(AND($AA382="V",$AA390="V"),AN382+AN390,0)))</f>
        <v>0</v>
      </c>
      <c r="AO391" s="1741">
        <f t="shared" ref="AO391" si="799">IF(AND($AA382="V",$AA390="F"),AO382,IF(AND($AA382="F",$AA390="V"),AO390,IF(AND($AA382="V",$AA390="V"),AO382+AO390,0)))</f>
        <v>0</v>
      </c>
      <c r="AY391" s="734"/>
      <c r="AZ391" s="734"/>
      <c r="BA391" s="87"/>
      <c r="BB391" s="442"/>
      <c r="BC391" s="89"/>
      <c r="BD391" s="446"/>
      <c r="BE391" s="446"/>
      <c r="BF391" s="89"/>
      <c r="BG391" s="447"/>
      <c r="BH391" s="447"/>
      <c r="BI391" s="443"/>
    </row>
    <row r="392" spans="1:78" x14ac:dyDescent="0.3">
      <c r="D392" s="16"/>
      <c r="E392" s="16"/>
      <c r="F392" s="67"/>
      <c r="G392" s="438"/>
      <c r="H392" s="438"/>
      <c r="I392" s="1344"/>
      <c r="J392" s="1345"/>
      <c r="K392" s="1346"/>
      <c r="L392" s="2603"/>
      <c r="M392" s="2603"/>
      <c r="N392" s="2603"/>
      <c r="O392" s="1347"/>
      <c r="P392" s="1364"/>
      <c r="Q392" s="1346"/>
      <c r="R392" s="1347"/>
      <c r="S392" s="1364"/>
      <c r="T392" s="1346"/>
      <c r="U392" s="1347"/>
      <c r="V392" s="145"/>
      <c r="W392" s="1387"/>
      <c r="X392" s="1388"/>
      <c r="Y392" s="1231"/>
      <c r="Z392" s="1231"/>
      <c r="AA392" s="1231"/>
      <c r="AB392" s="1231"/>
      <c r="AY392" s="734"/>
      <c r="AZ392" s="734"/>
      <c r="BA392" s="87"/>
      <c r="BB392" s="442"/>
      <c r="BC392" s="89"/>
      <c r="BD392" s="446"/>
      <c r="BE392" s="446"/>
      <c r="BF392" s="89"/>
      <c r="BG392" s="447"/>
      <c r="BH392" s="447"/>
      <c r="BI392" s="443"/>
    </row>
    <row r="393" spans="1:78" x14ac:dyDescent="0.3">
      <c r="B393" s="1699">
        <v>19</v>
      </c>
      <c r="D393" s="441" t="str">
        <f>'Cpts AR +indép + Sommaire'!B59</f>
        <v>Fait lire les communications à l'enfant</v>
      </c>
      <c r="E393" s="84"/>
      <c r="F393" s="50"/>
      <c r="G393" s="18"/>
      <c r="H393" s="18"/>
      <c r="I393" s="2595" t="s">
        <v>604</v>
      </c>
      <c r="J393" s="2596"/>
      <c r="K393" s="2596"/>
      <c r="L393" s="2597" t="s">
        <v>1086</v>
      </c>
      <c r="M393" s="2597"/>
      <c r="N393" s="2597"/>
      <c r="O393" s="2598"/>
      <c r="P393" s="2599" t="s">
        <v>603</v>
      </c>
      <c r="Q393" s="2600"/>
      <c r="R393" s="2601"/>
      <c r="S393" s="2590" t="s">
        <v>605</v>
      </c>
      <c r="T393" s="2591"/>
      <c r="U393" s="2592"/>
      <c r="V393" s="15"/>
      <c r="W393" s="817"/>
      <c r="X393" s="817"/>
      <c r="Y393" s="817"/>
      <c r="Z393" s="817"/>
      <c r="AA393" s="817"/>
      <c r="AB393" s="818"/>
      <c r="AD393" s="10"/>
      <c r="AE393" s="10"/>
      <c r="AF393" s="10"/>
      <c r="AG393" s="1386" t="s">
        <v>604</v>
      </c>
      <c r="AH393" s="1386" t="s">
        <v>603</v>
      </c>
      <c r="AI393" s="1386" t="s">
        <v>605</v>
      </c>
      <c r="AJ393" s="2589" t="s">
        <v>604</v>
      </c>
      <c r="AK393" s="2589"/>
      <c r="AL393" s="2589" t="s">
        <v>603</v>
      </c>
      <c r="AM393" s="2589"/>
      <c r="AN393" s="2589" t="s">
        <v>605</v>
      </c>
      <c r="AO393" s="2589"/>
      <c r="AY393" s="734"/>
      <c r="AZ393" s="734"/>
      <c r="BA393" s="87"/>
      <c r="BB393" s="442"/>
      <c r="BC393" s="89"/>
      <c r="BD393" s="446"/>
      <c r="BE393" s="446"/>
      <c r="BF393" s="89"/>
      <c r="BG393" s="447"/>
      <c r="BH393" s="447"/>
      <c r="BI393" s="443"/>
    </row>
    <row r="394" spans="1:78" ht="36" x14ac:dyDescent="0.3">
      <c r="D394" s="79" t="s">
        <v>779</v>
      </c>
      <c r="E394" s="835" t="s">
        <v>778</v>
      </c>
      <c r="F394" s="26" t="s">
        <v>226</v>
      </c>
      <c r="G394" s="26" t="s">
        <v>22</v>
      </c>
      <c r="H394" s="26" t="s">
        <v>612</v>
      </c>
      <c r="I394" s="1348" t="s">
        <v>269</v>
      </c>
      <c r="J394" s="29" t="s">
        <v>270</v>
      </c>
      <c r="K394" s="29" t="s">
        <v>271</v>
      </c>
      <c r="L394" s="29" t="s">
        <v>363</v>
      </c>
      <c r="M394" s="29" t="s">
        <v>339</v>
      </c>
      <c r="N394" s="29" t="s">
        <v>340</v>
      </c>
      <c r="O394" s="1349" t="s">
        <v>341</v>
      </c>
      <c r="P394" s="1348" t="s">
        <v>269</v>
      </c>
      <c r="Q394" s="29" t="s">
        <v>270</v>
      </c>
      <c r="R394" s="1349" t="s">
        <v>271</v>
      </c>
      <c r="S394" s="1348" t="s">
        <v>269</v>
      </c>
      <c r="T394" s="29" t="s">
        <v>270</v>
      </c>
      <c r="U394" s="1349" t="s">
        <v>271</v>
      </c>
      <c r="V394" s="736"/>
      <c r="W394" s="827" t="s">
        <v>604</v>
      </c>
      <c r="X394" s="828" t="s">
        <v>754</v>
      </c>
      <c r="Y394" s="827" t="s">
        <v>603</v>
      </c>
      <c r="Z394" s="828" t="s">
        <v>755</v>
      </c>
      <c r="AA394" s="827" t="s">
        <v>605</v>
      </c>
      <c r="AB394" s="828" t="s">
        <v>756</v>
      </c>
      <c r="AD394" s="10"/>
      <c r="AE394" s="10"/>
      <c r="AF394" s="10"/>
      <c r="AG394" s="10"/>
      <c r="AH394" s="10"/>
      <c r="AI394" s="10"/>
      <c r="AJ394" s="1490" t="s">
        <v>1058</v>
      </c>
      <c r="AK394" s="1490" t="s">
        <v>1059</v>
      </c>
      <c r="AL394" s="1490" t="s">
        <v>1058</v>
      </c>
      <c r="AM394" s="1490" t="s">
        <v>1059</v>
      </c>
      <c r="AN394" s="1490" t="s">
        <v>1058</v>
      </c>
      <c r="AO394" s="1490" t="s">
        <v>1059</v>
      </c>
      <c r="AY394" s="734"/>
      <c r="AZ394" s="734"/>
      <c r="BA394" s="87"/>
      <c r="BB394" s="442"/>
      <c r="BC394" s="89"/>
      <c r="BD394" s="446"/>
      <c r="BE394" s="446"/>
      <c r="BF394" s="89"/>
      <c r="BG394" s="447"/>
      <c r="BH394" s="447"/>
      <c r="BI394" s="443"/>
    </row>
    <row r="395" spans="1:78" ht="34" x14ac:dyDescent="0.2">
      <c r="A395" t="str">
        <f>IF(Test_Bible!B246="","F","O")</f>
        <v>O</v>
      </c>
      <c r="B395" s="1700" t="str">
        <f>'Cpts AR +indép + Sommaire'!G59</f>
        <v>Parentification</v>
      </c>
      <c r="C395" s="379" t="str">
        <f>'Cpts AR +indép + Sommaire'!C59</f>
        <v>PFA32</v>
      </c>
      <c r="D395" s="25" t="str">
        <f>'Cpts AR +indép + Sommaire'!D59</f>
        <v>L'autre parent fait lire vos échanges et communications (courriels, textos, etc.) à votre enfant.</v>
      </c>
      <c r="E395" s="78" t="s">
        <v>648</v>
      </c>
      <c r="F395" s="709">
        <f>'Cpts AR +indép + Sommaire'!E59</f>
        <v>4</v>
      </c>
      <c r="G395" s="709">
        <f>'Cpts AR +indép + Sommaire'!F59</f>
        <v>3</v>
      </c>
      <c r="H395" s="709">
        <f>F395*G395</f>
        <v>12</v>
      </c>
      <c r="I395" s="1350">
        <v>4</v>
      </c>
      <c r="J395" s="1343">
        <v>10</v>
      </c>
      <c r="K395" s="31" t="b">
        <f>IF(AND(F395&gt;=I395,F395&lt;=J395),TRUE,FALSE)</f>
        <v>1</v>
      </c>
      <c r="L395" s="31"/>
      <c r="M395" s="31"/>
      <c r="N395" s="31"/>
      <c r="O395" s="1351"/>
      <c r="P395" s="1350">
        <v>2</v>
      </c>
      <c r="Q395" s="1343">
        <v>7</v>
      </c>
      <c r="R395" s="1351" t="b">
        <f>IF(AND(F395&gt;=P395,F395&lt;=Q395),TRUE,FALSE)</f>
        <v>1</v>
      </c>
      <c r="S395" s="1350">
        <v>4</v>
      </c>
      <c r="T395" s="1343">
        <v>7</v>
      </c>
      <c r="U395" s="1351" t="b">
        <f>IF(AND(F395&gt;=S395,F395&lt;=T395),TRUE,FALSE)</f>
        <v>1</v>
      </c>
      <c r="V395" s="807"/>
      <c r="W395" s="819"/>
      <c r="X395" s="820"/>
      <c r="Y395" s="819"/>
      <c r="Z395" s="820"/>
      <c r="AA395" s="819"/>
      <c r="AB395" s="820"/>
      <c r="AD395" s="10"/>
      <c r="AE395" s="10"/>
      <c r="AF395" s="10"/>
      <c r="AG395" s="832">
        <f>IF($K395=TRUE,H395,0)</f>
        <v>12</v>
      </c>
      <c r="AH395" s="832">
        <f>IF($R395=TRUE,H395,0)</f>
        <v>12</v>
      </c>
      <c r="AI395" s="832">
        <f>IF($U395=TRUE,H395,0)</f>
        <v>12</v>
      </c>
      <c r="AJ395" s="1490">
        <f t="shared" ref="AJ395:AJ396" si="800">IF(OR(I395=11,A395="F"),0,G395*I395)</f>
        <v>12</v>
      </c>
      <c r="AK395" s="1490">
        <f t="shared" ref="AK395:AK396" si="801">IF(OR(J395=11,A395="F"),0,G395*J395)</f>
        <v>30</v>
      </c>
      <c r="AL395" s="1490">
        <f t="shared" ref="AL395:AL396" si="802">IF(OR(P395=11,A395="F"),0,G395*P395)</f>
        <v>6</v>
      </c>
      <c r="AM395" s="1490">
        <f t="shared" ref="AM395:AM396" si="803">IF(OR(Q395=11,A395="F"),0,G395*Q395)</f>
        <v>21</v>
      </c>
      <c r="AN395" s="1490">
        <f t="shared" ref="AN395:AN396" si="804">IF(OR(S395=11,A395="F"),0,S395*G395)</f>
        <v>12</v>
      </c>
      <c r="AO395" s="1490">
        <f t="shared" ref="AO395:AO396" si="805">IF(OR(T395=11,A395="F"),0,T395*G395)</f>
        <v>21</v>
      </c>
      <c r="AY395" s="734"/>
      <c r="AZ395" s="734"/>
      <c r="BA395" s="87"/>
      <c r="BB395" s="442"/>
      <c r="BC395" s="89"/>
      <c r="BD395" s="446"/>
      <c r="BE395" s="446"/>
      <c r="BF395" s="89"/>
      <c r="BG395" s="447"/>
      <c r="BH395" s="447"/>
      <c r="BI395" s="443"/>
    </row>
    <row r="396" spans="1:78" ht="19" x14ac:dyDescent="0.2">
      <c r="B396" s="1531"/>
      <c r="C396" s="379" t="s">
        <v>260</v>
      </c>
      <c r="D396" s="25"/>
      <c r="E396" s="78"/>
      <c r="F396" s="709"/>
      <c r="G396" s="708"/>
      <c r="H396" s="709">
        <f>F396*G396</f>
        <v>0</v>
      </c>
      <c r="I396" s="1374">
        <v>11</v>
      </c>
      <c r="J396" s="1375">
        <v>11</v>
      </c>
      <c r="K396" s="31" t="b">
        <f>IF(AND(F396&gt;=I396,F396&lt;=J396),TRUE,FALSE)</f>
        <v>0</v>
      </c>
      <c r="L396" s="31"/>
      <c r="M396" s="31"/>
      <c r="N396" s="31"/>
      <c r="O396" s="1351"/>
      <c r="P396" s="1374">
        <v>11</v>
      </c>
      <c r="Q396" s="1375">
        <v>11</v>
      </c>
      <c r="R396" s="1351" t="b">
        <f>IF(AND(F396&gt;=P396,F396&lt;=Q396),TRUE,FALSE)</f>
        <v>0</v>
      </c>
      <c r="S396" s="1374">
        <v>11</v>
      </c>
      <c r="T396" s="1375">
        <v>11</v>
      </c>
      <c r="U396" s="1351" t="b">
        <f>IF(AND(F396&gt;=S396,F396&lt;=T396),TRUE,FALSE)</f>
        <v>0</v>
      </c>
      <c r="V396" s="807"/>
      <c r="W396" s="821"/>
      <c r="X396" s="822"/>
      <c r="Y396" s="821"/>
      <c r="Z396" s="822"/>
      <c r="AA396" s="821"/>
      <c r="AB396" s="822"/>
      <c r="AD396" s="10"/>
      <c r="AE396" s="10"/>
      <c r="AF396" s="10"/>
      <c r="AG396" s="832">
        <f>IF($K396=TRUE,H396,0)</f>
        <v>0</v>
      </c>
      <c r="AH396" s="832">
        <f>IF($R396=TRUE,H396,0)</f>
        <v>0</v>
      </c>
      <c r="AI396" s="832">
        <f>IF($U396=TRUE,H396,0)</f>
        <v>0</v>
      </c>
      <c r="AJ396" s="1490">
        <f t="shared" si="800"/>
        <v>0</v>
      </c>
      <c r="AK396" s="1490">
        <f t="shared" si="801"/>
        <v>0</v>
      </c>
      <c r="AL396" s="1490">
        <f t="shared" si="802"/>
        <v>0</v>
      </c>
      <c r="AM396" s="1490">
        <f t="shared" si="803"/>
        <v>0</v>
      </c>
      <c r="AN396" s="1490">
        <f t="shared" si="804"/>
        <v>0</v>
      </c>
      <c r="AO396" s="1490">
        <f t="shared" si="805"/>
        <v>0</v>
      </c>
      <c r="AY396" s="734"/>
      <c r="AZ396" s="734"/>
      <c r="BA396" s="87"/>
      <c r="BB396" s="442"/>
      <c r="BC396" s="89"/>
      <c r="BD396" s="446"/>
      <c r="BE396" s="446"/>
      <c r="BF396" s="89"/>
      <c r="BG396" s="447"/>
      <c r="BH396" s="447"/>
      <c r="BI396" s="443"/>
    </row>
    <row r="397" spans="1:78" ht="34" x14ac:dyDescent="0.2">
      <c r="B397" s="1702"/>
      <c r="C397" s="710" t="s">
        <v>609</v>
      </c>
      <c r="D397" s="711" t="str">
        <f>_xlfn.XLOOKUP(H397,H395:H396,D395:D396)</f>
        <v>L'autre parent fait lire vos échanges et communications (courriels, textos, etc.) à votre enfant.</v>
      </c>
      <c r="E397" s="712" t="str">
        <f>_xlfn.XLOOKUP(H397,H395:H396,E395:E396)</f>
        <v>fait lire vos échanges à votre enfant</v>
      </c>
      <c r="F397" s="713"/>
      <c r="G397" s="713"/>
      <c r="H397" s="713">
        <f>IF(AND(K395=TRUE,K396=FALSE),H395,IF(AND(K395=FALSE,K396=TRUE),H396,MAX(H395,H396)))</f>
        <v>12</v>
      </c>
      <c r="I397" s="1352"/>
      <c r="J397" s="714"/>
      <c r="K397" s="715" t="b">
        <f>IF(AND(K395=FALSE,K396=FALSE),FALSE,TRUE)</f>
        <v>1</v>
      </c>
      <c r="L397" s="31"/>
      <c r="M397" s="31"/>
      <c r="N397" s="31"/>
      <c r="O397" s="1351"/>
      <c r="P397" s="1352"/>
      <c r="Q397" s="714"/>
      <c r="R397" s="1365" t="b">
        <f>IF(AND(R395=FALSE,R396=FALSE),FALSE,TRUE)</f>
        <v>1</v>
      </c>
      <c r="S397" s="1352"/>
      <c r="T397" s="714"/>
      <c r="U397" s="1365" t="b">
        <f>IF(AND(U395=FALSE,U396=FALSE),FALSE,TRUE)</f>
        <v>1</v>
      </c>
      <c r="V397" s="807"/>
      <c r="W397" s="821"/>
      <c r="X397" s="822"/>
      <c r="Y397" s="821"/>
      <c r="Z397" s="822"/>
      <c r="AA397" s="821"/>
      <c r="AB397" s="822"/>
      <c r="AD397" s="10"/>
      <c r="AE397" s="10"/>
      <c r="AF397" s="10"/>
      <c r="AG397" s="1740">
        <f>IF($K397=TRUE,MAX(AG395:AG396),0)</f>
        <v>12</v>
      </c>
      <c r="AH397" s="1740">
        <f>IF($R397=TRUE,MAX(AH395:AH396),0)</f>
        <v>12</v>
      </c>
      <c r="AI397" s="1740">
        <f>IF($U397=TRUE,MAX(AI395:AI396),0)</f>
        <v>12</v>
      </c>
      <c r="AJ397" s="1739">
        <f>MAX(AJ395:AJ396)</f>
        <v>12</v>
      </c>
      <c r="AK397" s="1739">
        <f t="shared" ref="AK397" si="806">MAX(AK395:AK396)</f>
        <v>30</v>
      </c>
      <c r="AL397" s="1739">
        <f t="shared" ref="AL397" si="807">MAX(AL395:AL396)</f>
        <v>6</v>
      </c>
      <c r="AM397" s="1739">
        <f t="shared" ref="AM397" si="808">MAX(AM395:AM396)</f>
        <v>21</v>
      </c>
      <c r="AN397" s="1739">
        <f t="shared" ref="AN397" si="809">MAX(AN395:AN396)</f>
        <v>12</v>
      </c>
      <c r="AO397" s="1739">
        <f t="shared" ref="AO397" si="810">MAX(AO395:AO396)</f>
        <v>21</v>
      </c>
      <c r="AY397" s="734"/>
      <c r="AZ397" s="734"/>
      <c r="BA397" s="87"/>
      <c r="BB397" s="442"/>
      <c r="BC397" s="89"/>
      <c r="BD397" s="446"/>
      <c r="BE397" s="446"/>
      <c r="BF397" s="89"/>
      <c r="BG397" s="447"/>
      <c r="BH397" s="447"/>
      <c r="BI397" s="443"/>
    </row>
    <row r="398" spans="1:78" ht="19" x14ac:dyDescent="0.2">
      <c r="B398" s="1531"/>
      <c r="C398" s="38" t="s">
        <v>242</v>
      </c>
      <c r="D398" s="25"/>
      <c r="E398" s="78"/>
      <c r="F398" s="709"/>
      <c r="G398" s="708"/>
      <c r="H398" s="709">
        <f>F398*G398</f>
        <v>0</v>
      </c>
      <c r="I398" s="1374">
        <v>11</v>
      </c>
      <c r="J398" s="1375">
        <v>11</v>
      </c>
      <c r="K398" s="31" t="b">
        <f>IF(AND(F398&gt;=I398,F398&lt;=J398),TRUE,FALSE)</f>
        <v>0</v>
      </c>
      <c r="L398" s="31"/>
      <c r="M398" s="31"/>
      <c r="N398" s="31"/>
      <c r="O398" s="1351"/>
      <c r="P398" s="1374">
        <v>11</v>
      </c>
      <c r="Q398" s="1375">
        <v>11</v>
      </c>
      <c r="R398" s="1351" t="b">
        <f>IF(AND(F398&gt;=P398,F398&lt;=Q398),TRUE,FALSE)</f>
        <v>0</v>
      </c>
      <c r="S398" s="1374">
        <v>11</v>
      </c>
      <c r="T398" s="1375">
        <v>11</v>
      </c>
      <c r="U398" s="1351" t="b">
        <f>IF(AND(F398&gt;=S398,F398&lt;=T398),TRUE,FALSE)</f>
        <v>0</v>
      </c>
      <c r="V398" s="807"/>
      <c r="W398" s="821"/>
      <c r="X398" s="822"/>
      <c r="Y398" s="821"/>
      <c r="Z398" s="822"/>
      <c r="AA398" s="821"/>
      <c r="AB398" s="822"/>
      <c r="AD398" s="10"/>
      <c r="AE398" s="10"/>
      <c r="AF398" s="10"/>
      <c r="AG398" s="832">
        <f>IF(K398=TRUE,H398,0)</f>
        <v>0</v>
      </c>
      <c r="AH398" s="832">
        <f>IF(R398=TRUE,H398,0)</f>
        <v>0</v>
      </c>
      <c r="AI398" s="832">
        <f>IF(U398=TRUE,H398,0)</f>
        <v>0</v>
      </c>
      <c r="AJ398" s="1490">
        <f t="shared" ref="AJ398:AJ399" si="811">IF(OR(I398=11,A398="F"),0,G398*I398)</f>
        <v>0</v>
      </c>
      <c r="AK398" s="1490">
        <f t="shared" ref="AK398:AK399" si="812">IF(OR(J398=11,A398="F"),0,G398*J398)</f>
        <v>0</v>
      </c>
      <c r="AL398" s="1490">
        <f t="shared" ref="AL398:AL399" si="813">IF(OR(P398=11,A398="F"),0,G398*P398)</f>
        <v>0</v>
      </c>
      <c r="AM398" s="1490">
        <f t="shared" ref="AM398:AM399" si="814">IF(OR(Q398=11,A398="F"),0,G398*Q398)</f>
        <v>0</v>
      </c>
      <c r="AN398" s="1490">
        <f t="shared" ref="AN398:AN399" si="815">IF(OR(S398=11,A398="F"),0,S398*G398)</f>
        <v>0</v>
      </c>
      <c r="AO398" s="1490">
        <f t="shared" ref="AO398:AO399" si="816">IF(OR(T398=11,A398="F"),0,T398*G398)</f>
        <v>0</v>
      </c>
      <c r="AY398" s="734"/>
      <c r="AZ398" s="734"/>
      <c r="BA398" s="87"/>
      <c r="BB398" s="442"/>
      <c r="BC398" s="89"/>
      <c r="BD398" s="446"/>
      <c r="BE398" s="446"/>
      <c r="BF398" s="89"/>
      <c r="BG398" s="447"/>
      <c r="BH398" s="447"/>
      <c r="BI398" s="443"/>
    </row>
    <row r="399" spans="1:78" ht="19" x14ac:dyDescent="0.2">
      <c r="B399" s="1700"/>
      <c r="C399" s="38" t="s">
        <v>242</v>
      </c>
      <c r="D399" s="25"/>
      <c r="E399" s="48"/>
      <c r="F399" s="27"/>
      <c r="G399" s="27"/>
      <c r="H399" s="27">
        <f>F399*G399</f>
        <v>0</v>
      </c>
      <c r="I399" s="1374">
        <v>11</v>
      </c>
      <c r="J399" s="1375">
        <v>11</v>
      </c>
      <c r="K399" s="31" t="b">
        <f>IF(AND(F399&gt;=I399,F399&lt;=J399),TRUE,FALSE)</f>
        <v>0</v>
      </c>
      <c r="L399" s="31"/>
      <c r="M399" s="31"/>
      <c r="N399" s="31"/>
      <c r="O399" s="1351"/>
      <c r="P399" s="1374">
        <v>11</v>
      </c>
      <c r="Q399" s="1375">
        <v>11</v>
      </c>
      <c r="R399" s="1351" t="b">
        <f>IF(AND(F399&gt;=P399,F399&lt;=Q399),TRUE,FALSE)</f>
        <v>0</v>
      </c>
      <c r="S399" s="1374">
        <v>11</v>
      </c>
      <c r="T399" s="1375">
        <v>11</v>
      </c>
      <c r="U399" s="1351" t="b">
        <f>IF(AND(F399&gt;=S399,F399&lt;=T399),TRUE,FALSE)</f>
        <v>0</v>
      </c>
      <c r="V399" s="807"/>
      <c r="W399" s="821"/>
      <c r="X399" s="822"/>
      <c r="Y399" s="821"/>
      <c r="Z399" s="822"/>
      <c r="AA399" s="821"/>
      <c r="AB399" s="822"/>
      <c r="AD399" s="10"/>
      <c r="AE399" s="10"/>
      <c r="AF399" s="10"/>
      <c r="AG399" s="832">
        <f>IF(K399=TRUE,H399,0)</f>
        <v>0</v>
      </c>
      <c r="AH399" s="832">
        <f>IF(R399=TRUE,H399,0)</f>
        <v>0</v>
      </c>
      <c r="AI399" s="832">
        <f>IF(U399=TRUE,H399,0)</f>
        <v>0</v>
      </c>
      <c r="AJ399" s="1490">
        <f t="shared" si="811"/>
        <v>0</v>
      </c>
      <c r="AK399" s="1490">
        <f t="shared" si="812"/>
        <v>0</v>
      </c>
      <c r="AL399" s="1490">
        <f t="shared" si="813"/>
        <v>0</v>
      </c>
      <c r="AM399" s="1490">
        <f t="shared" si="814"/>
        <v>0</v>
      </c>
      <c r="AN399" s="1490">
        <f t="shared" si="815"/>
        <v>0</v>
      </c>
      <c r="AO399" s="1490">
        <f t="shared" si="816"/>
        <v>0</v>
      </c>
      <c r="AY399" s="734"/>
      <c r="AZ399" s="734"/>
      <c r="BA399" s="87"/>
      <c r="BB399" s="442"/>
      <c r="BC399" s="89"/>
      <c r="BD399" s="446"/>
      <c r="BE399" s="446"/>
      <c r="BF399" s="89"/>
      <c r="BG399" s="447"/>
      <c r="BH399" s="447"/>
      <c r="BI399" s="443"/>
    </row>
    <row r="400" spans="1:78" ht="20" thickBot="1" x14ac:dyDescent="0.25">
      <c r="B400" s="1700"/>
      <c r="C400" s="716" t="s">
        <v>610</v>
      </c>
      <c r="D400" s="717">
        <f>_xlfn.XLOOKUP(H400,H398:H399,D398:D399)</f>
        <v>0</v>
      </c>
      <c r="E400" s="718">
        <f>_xlfn.XLOOKUP(H400,H398:H399,E398:E399)</f>
        <v>0</v>
      </c>
      <c r="F400" s="719"/>
      <c r="G400" s="719"/>
      <c r="H400" s="713">
        <f>IF(AND(K398=TRUE,K399=FALSE),H398,IF(AND(K398=FALSE,K399=TRUE),H399,MAX(H398,H399)))</f>
        <v>0</v>
      </c>
      <c r="I400" s="1353"/>
      <c r="J400" s="720"/>
      <c r="K400" s="721" t="b">
        <f>IF(AND(K398=FALSE,K399=FALSE),FALSE,TRUE)</f>
        <v>0</v>
      </c>
      <c r="L400" s="31"/>
      <c r="M400" s="31"/>
      <c r="N400" s="31"/>
      <c r="O400" s="1351"/>
      <c r="P400" s="1353"/>
      <c r="Q400" s="720"/>
      <c r="R400" s="1366" t="b">
        <f>IF(AND(R398=FALSE,R399=FALSE),FALSE,TRUE)</f>
        <v>0</v>
      </c>
      <c r="S400" s="1353"/>
      <c r="T400" s="720"/>
      <c r="U400" s="1366" t="b">
        <f>IF(AND(U398=FALSE,U399=FALSE),FALSE,TRUE)</f>
        <v>0</v>
      </c>
      <c r="V400" s="807"/>
      <c r="W400" s="821"/>
      <c r="X400" s="822"/>
      <c r="Y400" s="821"/>
      <c r="Z400" s="822"/>
      <c r="AA400" s="821"/>
      <c r="AB400" s="822"/>
      <c r="AD400" s="10"/>
      <c r="AE400" s="10"/>
      <c r="AF400" s="10"/>
      <c r="AG400" s="1740">
        <f>IF($K400=TRUE,MAX(AG398:AG399),0)</f>
        <v>0</v>
      </c>
      <c r="AH400" s="1740">
        <f>IF($R400=TRUE,MAX(AH398:AH399),0)</f>
        <v>0</v>
      </c>
      <c r="AI400" s="1740">
        <f>IF($U400=TRUE,MAX(AI398:AI399),0)</f>
        <v>0</v>
      </c>
      <c r="AJ400" s="1739">
        <f>MAX(AJ398:AJ399)</f>
        <v>0</v>
      </c>
      <c r="AK400" s="1739">
        <f t="shared" ref="AK400" si="817">MAX(AK398:AK399)</f>
        <v>0</v>
      </c>
      <c r="AL400" s="1739">
        <f t="shared" ref="AL400" si="818">MAX(AL398:AL399)</f>
        <v>0</v>
      </c>
      <c r="AM400" s="1739">
        <f t="shared" ref="AM400" si="819">MAX(AM398:AM399)</f>
        <v>0</v>
      </c>
      <c r="AN400" s="1739">
        <f t="shared" ref="AN400" si="820">MAX(AN398:AN399)</f>
        <v>0</v>
      </c>
      <c r="AO400" s="1739">
        <f t="shared" ref="AO400" si="821">MAX(AO398:AO399)</f>
        <v>0</v>
      </c>
      <c r="AY400" s="734"/>
      <c r="AZ400" s="734"/>
      <c r="BA400" s="87"/>
      <c r="BB400" s="442"/>
      <c r="BC400" s="89"/>
      <c r="BD400" s="446"/>
      <c r="BE400" s="446"/>
      <c r="BF400" s="89"/>
      <c r="BG400" s="447"/>
      <c r="BH400" s="447"/>
      <c r="BI400" s="443"/>
    </row>
    <row r="401" spans="1:78" ht="35" thickBot="1" x14ac:dyDescent="0.25">
      <c r="B401" s="1700"/>
      <c r="C401" s="722" t="s">
        <v>616</v>
      </c>
      <c r="D401" s="723"/>
      <c r="E401" s="723" t="str">
        <f>IF(H401=H397,E397,E400)</f>
        <v>fait lire vos échanges à votre enfant</v>
      </c>
      <c r="F401" s="724"/>
      <c r="G401" s="724"/>
      <c r="H401" s="724">
        <f>IF(AND(K397=TRUE,K400=FALSE),H397,IF(AND(K397=FALSE,K400=TRUE),H400,IF(AND(K397=TRUE,K400=TRUE),H397+H400,MAX(H397,H400))))</f>
        <v>12</v>
      </c>
      <c r="I401" s="1354"/>
      <c r="J401" s="725"/>
      <c r="K401" s="726" t="b">
        <f>IF(AND(K397=FALSE,K400=FALSE),FALSE,TRUE)</f>
        <v>1</v>
      </c>
      <c r="L401" s="1338"/>
      <c r="M401" s="1338"/>
      <c r="N401" s="1338"/>
      <c r="O401" s="1355"/>
      <c r="P401" s="1354"/>
      <c r="Q401" s="725"/>
      <c r="R401" s="726" t="b">
        <f>IF(AND(R397=FALSE,R400=FALSE),FALSE,TRUE)</f>
        <v>1</v>
      </c>
      <c r="S401" s="1354"/>
      <c r="T401" s="725"/>
      <c r="U401" s="726" t="b">
        <f>IF(AND(U397=FALSE,U400=FALSE),FALSE,TRUE)</f>
        <v>1</v>
      </c>
      <c r="V401" s="807"/>
      <c r="W401" s="821" t="str">
        <f>IF(K401=TRUE,"V","F")</f>
        <v>V</v>
      </c>
      <c r="X401" s="822"/>
      <c r="Y401" s="821" t="str">
        <f>IF(R401=TRUE,"V","F")</f>
        <v>V</v>
      </c>
      <c r="Z401" s="822"/>
      <c r="AA401" s="821" t="str">
        <f>IF(U401=TRUE,"V","F")</f>
        <v>V</v>
      </c>
      <c r="AB401" s="822"/>
      <c r="AC401" t="str">
        <f>IF(OR(W401="V",Y401="V"),IF(H400&gt;H397,"Le NC contribue plus que le coparent","Le coparent joue un plus grand rôle que le NC"),"pas de contexte significatif de la part du coparent et NC")</f>
        <v>Le coparent joue un plus grand rôle que le NC</v>
      </c>
      <c r="AD401" s="10"/>
      <c r="AE401" s="10"/>
      <c r="AF401" s="10"/>
      <c r="AG401" s="591">
        <f>IF(AND($K397=TRUE,$K400=FALSE),AG397,IF(AND($K397=FALSE,$K400=TRUE),AG400,IF(AND($K397=TRUE,$K400=TRUE),AG397+AG400,0)))</f>
        <v>12</v>
      </c>
      <c r="AH401" s="591">
        <f>IF(AND($R397=TRUE,$R400=FALSE),AH397,IF(AND($R397=FALSE,$R400=TRUE),AH400,IF(AND($R397=TRUE,$R400=TRUE),AH397+AH400,0)))</f>
        <v>12</v>
      </c>
      <c r="AI401" s="591">
        <f>IF(AND($U397=TRUE,$U400=FALSE),AI397,IF(AND($U397=FALSE,$U400=TRUE),AI400,IF(AND($U397=TRUE,$U400=TRUE),AI397+AI400,0)))</f>
        <v>12</v>
      </c>
      <c r="AJ401" s="591">
        <f>IF(AND($K397=TRUE,$K400=FALSE),AJ397,IF(AND($K397=FALSE,$K400=TRUE),AJ400,IF(AND($K397=TRUE,$K400=TRUE),AJ397+AJ400,MAX(AJ397,AJ400))))</f>
        <v>12</v>
      </c>
      <c r="AK401" s="591">
        <f>IF(AND($K397=TRUE,$K400=FALSE),AK397,IF(AND($K397=FALSE,$K400=TRUE),AK400,IF(AND($K397=TRUE,$K400=TRUE),AK397+AK400,MAX(AK397,AK400))))</f>
        <v>30</v>
      </c>
      <c r="AL401" s="591">
        <f t="shared" ref="AL401" si="822">IF(AND($R397=TRUE,$R400=FALSE),AL397,IF(AND($R397=FALSE,$R400=TRUE),AL400,IF(AND($R397=TRUE,$R400=TRUE),AL397+AL400,MAX(AL397,AL400))))</f>
        <v>6</v>
      </c>
      <c r="AM401" s="591">
        <f t="shared" ref="AM401" si="823">IF(AND($R397=TRUE,$R400=FALSE),AM397,IF(AND($R397=FALSE,$R400=TRUE),AM400,IF(AND($R397=TRUE,$R400=TRUE),AM397+AM400,MAX(AM397,AM400))))</f>
        <v>21</v>
      </c>
      <c r="AN401" s="591">
        <f t="shared" ref="AN401" si="824">IF(AND($U397=TRUE,$U400=FALSE),AN397,IF(AND($U397=FALSE,$U400=TRUE),AN400,IF(AND($U397=TRUE,$U400=TRUE),AN397+AN400,MAX(AN397,AN400))))</f>
        <v>12</v>
      </c>
      <c r="AO401" s="591">
        <f t="shared" ref="AO401" si="825">IF(AND($U397=TRUE,$U400=FALSE),AO397,IF(AND($U397=FALSE,$U400=TRUE),AO400,IF(AND($U397=TRUE,$U400=TRUE),AO397+AO400,MAX(AO397,AO400))))</f>
        <v>21</v>
      </c>
      <c r="AV401" s="7"/>
      <c r="AX401" s="7"/>
      <c r="AY401" s="734"/>
      <c r="AZ401" s="734"/>
      <c r="BA401" s="87"/>
      <c r="BB401" s="442"/>
      <c r="BC401" s="89"/>
      <c r="BD401" s="446"/>
      <c r="BE401" s="446"/>
      <c r="BF401" s="89"/>
      <c r="BG401" s="447"/>
      <c r="BH401" s="447"/>
      <c r="BI401" s="443"/>
      <c r="BN401" s="25"/>
      <c r="BP401" s="7"/>
      <c r="BQ401" s="7"/>
      <c r="BR401" s="7"/>
      <c r="BS401" s="7"/>
      <c r="BT401" s="7"/>
      <c r="BU401" s="7"/>
      <c r="BV401" s="7"/>
      <c r="BW401" s="7"/>
      <c r="BX401" s="7"/>
      <c r="BY401" s="7"/>
      <c r="BZ401" s="7"/>
    </row>
    <row r="402" spans="1:78" ht="34" x14ac:dyDescent="0.2">
      <c r="A402" t="str">
        <f>IF(Test_Bible!B308="","F","O")</f>
        <v>O</v>
      </c>
      <c r="B402" s="1700" t="str">
        <f>'Cpts AR +indép + Sommaire'!S59</f>
        <v>Parentification</v>
      </c>
      <c r="C402" s="287" t="str">
        <f>'Cpts AR +indép + Sommaire'!O59</f>
        <v>E24</v>
      </c>
      <c r="D402" s="25" t="str">
        <f>'Cpts AR +indép + Sommaire'!P59</f>
        <v>L'autre parent a informé votre enfant du contexte juridique, financier ou autre associé au conflit vous opposant.</v>
      </c>
      <c r="E402" s="78" t="s">
        <v>649</v>
      </c>
      <c r="F402" s="709">
        <f>'Cpts AR +indép + Sommaire'!Q59</f>
        <v>10</v>
      </c>
      <c r="G402" s="709">
        <f>'Cpts AR +indép + Sommaire'!R59</f>
        <v>2</v>
      </c>
      <c r="H402" s="709">
        <f>F402*G402</f>
        <v>20</v>
      </c>
      <c r="I402" s="1350">
        <v>4</v>
      </c>
      <c r="J402" s="1343">
        <v>10</v>
      </c>
      <c r="K402" s="31" t="b">
        <f>IF(AND(F402&gt;=I402,F402&lt;=J402),TRUE,FALSE)</f>
        <v>1</v>
      </c>
      <c r="L402" s="31"/>
      <c r="M402" s="31"/>
      <c r="N402" s="31"/>
      <c r="O402" s="1351"/>
      <c r="P402" s="1350">
        <v>2</v>
      </c>
      <c r="Q402" s="1343">
        <v>7</v>
      </c>
      <c r="R402" s="1351" t="b">
        <f>IF(AND(F402&gt;=P402,F402&lt;=Q402),TRUE,FALSE)</f>
        <v>0</v>
      </c>
      <c r="S402" s="1350"/>
      <c r="T402" s="1343"/>
      <c r="U402" s="1351"/>
      <c r="V402" s="807"/>
      <c r="W402" s="821" t="s">
        <v>753</v>
      </c>
      <c r="X402" s="822"/>
      <c r="Y402" s="821"/>
      <c r="Z402" s="822"/>
      <c r="AA402" s="821"/>
      <c r="AB402" s="822"/>
      <c r="AD402" s="10"/>
      <c r="AE402" s="10"/>
      <c r="AF402" s="10"/>
      <c r="AG402" s="832">
        <f>IF(K402=TRUE,H402,0)</f>
        <v>20</v>
      </c>
      <c r="AH402" s="832">
        <f>IF(R402=TRUE,H402,0)</f>
        <v>0</v>
      </c>
      <c r="AI402" s="832">
        <f>IF(U402=TRUE,H402,0)</f>
        <v>0</v>
      </c>
      <c r="AJ402" s="1490">
        <f>IF(OR(I402=11,A402="F"),0,G402*I402)</f>
        <v>8</v>
      </c>
      <c r="AK402" s="1490">
        <f>IF(OR(J402=11,A402="F"),0,G402*J402)</f>
        <v>20</v>
      </c>
      <c r="AL402" s="1490">
        <f t="shared" ref="AL402:AL404" si="826">IF(OR(P402=11,A402="F"),0,G402*P402)</f>
        <v>4</v>
      </c>
      <c r="AM402" s="1490">
        <f t="shared" ref="AM402:AM404" si="827">IF(OR(Q402=11,A402="F"),0,G402*Q402)</f>
        <v>14</v>
      </c>
      <c r="AN402" s="1490">
        <f t="shared" ref="AN402:AN404" si="828">IF(OR(S402=11,A402="F"),0,S402*G402)</f>
        <v>0</v>
      </c>
      <c r="AO402" s="1490">
        <f t="shared" ref="AO402:AO404" si="829">IF(OR(T402=11,A402="F"),0,T402*G402)</f>
        <v>0</v>
      </c>
      <c r="AV402" s="7"/>
      <c r="AX402" s="7"/>
      <c r="AY402" s="734"/>
      <c r="AZ402" s="734"/>
      <c r="BA402" s="87"/>
      <c r="BB402" s="442"/>
      <c r="BC402" s="89"/>
      <c r="BD402" s="446"/>
      <c r="BE402" s="446"/>
      <c r="BF402" s="89"/>
      <c r="BG402" s="447"/>
      <c r="BH402" s="447"/>
      <c r="BI402" s="443"/>
      <c r="BN402" s="25"/>
      <c r="BP402" s="7"/>
      <c r="BQ402" s="7"/>
      <c r="BR402" s="7"/>
      <c r="BS402" s="7"/>
      <c r="BT402" s="7"/>
      <c r="BU402" s="7"/>
      <c r="BV402" s="7"/>
      <c r="BW402" s="7"/>
      <c r="BX402" s="7"/>
      <c r="BY402" s="7"/>
      <c r="BZ402" s="7"/>
    </row>
    <row r="403" spans="1:78" ht="34" x14ac:dyDescent="0.2">
      <c r="A403" t="str">
        <f>IF(Test_Bible!B289="","F","O")</f>
        <v>F</v>
      </c>
      <c r="B403" s="1700" t="str">
        <f>'Cpts AR +indép + Sommaire'!S60</f>
        <v>Dénigrement</v>
      </c>
      <c r="C403" s="287" t="str">
        <f>'Cpts AR +indép + Sommaire'!O60</f>
        <v>E15a</v>
      </c>
      <c r="D403" s="25" t="str">
        <f>'Cpts AR +indép + Sommaire'!P60</f>
        <v>Arrive-t-il à votre enfant de vous accuser de voler de l’argent à son autre parent ou d'être responsable de son apauvrissement ?</v>
      </c>
      <c r="E403" s="78" t="s">
        <v>1831</v>
      </c>
      <c r="F403" s="709">
        <f>'Cpts AR +indép + Sommaire'!Q60</f>
        <v>0</v>
      </c>
      <c r="G403" s="709">
        <f>'Cpts AR +indép + Sommaire'!R60</f>
        <v>3</v>
      </c>
      <c r="H403" s="709">
        <f>F403*G403</f>
        <v>0</v>
      </c>
      <c r="I403" s="1350">
        <v>4</v>
      </c>
      <c r="J403" s="1343">
        <v>10</v>
      </c>
      <c r="K403" s="31" t="b">
        <f>IF(AND(F403&gt;=I403,F403&lt;=J403),TRUE,FALSE)</f>
        <v>0</v>
      </c>
      <c r="L403" s="31"/>
      <c r="M403" s="31"/>
      <c r="N403" s="31"/>
      <c r="O403" s="1351"/>
      <c r="P403" s="1350">
        <v>2</v>
      </c>
      <c r="Q403" s="1343">
        <v>7</v>
      </c>
      <c r="R403" s="1351" t="b">
        <f>IF(AND(F403&gt;=P403,F403&lt;=Q403),TRUE,FALSE)</f>
        <v>0</v>
      </c>
      <c r="S403" s="1350"/>
      <c r="T403" s="1343"/>
      <c r="U403" s="1351"/>
      <c r="V403" s="807"/>
      <c r="W403" s="821"/>
      <c r="X403" s="822"/>
      <c r="Y403" s="821"/>
      <c r="Z403" s="822"/>
      <c r="AA403" s="821"/>
      <c r="AB403" s="822"/>
      <c r="AD403" s="10"/>
      <c r="AE403" s="10"/>
      <c r="AF403" s="10"/>
      <c r="AG403" s="832">
        <f>IF(K403=TRUE,H403,0)</f>
        <v>0</v>
      </c>
      <c r="AH403" s="832">
        <f>IF(R403=TRUE,H403,0)</f>
        <v>0</v>
      </c>
      <c r="AI403" s="832">
        <f>IF(U403=TRUE,H403,0)</f>
        <v>0</v>
      </c>
      <c r="AJ403" s="1490">
        <f t="shared" ref="AJ403:AJ404" si="830">IF(OR(I403=11,A403="F"),0,G403*I403)</f>
        <v>0</v>
      </c>
      <c r="AK403" s="1490">
        <f t="shared" ref="AK403:AK404" si="831">IF(OR(J403=11,A403="F"),0,G403*J403)</f>
        <v>0</v>
      </c>
      <c r="AL403" s="1490">
        <f t="shared" si="826"/>
        <v>0</v>
      </c>
      <c r="AM403" s="1490">
        <f t="shared" si="827"/>
        <v>0</v>
      </c>
      <c r="AN403" s="1490">
        <f t="shared" si="828"/>
        <v>0</v>
      </c>
      <c r="AO403" s="1490">
        <f t="shared" si="829"/>
        <v>0</v>
      </c>
      <c r="AV403" s="7"/>
      <c r="AX403" s="7"/>
      <c r="AY403" s="734"/>
      <c r="AZ403" s="734"/>
      <c r="BA403" s="87"/>
      <c r="BB403" s="442"/>
      <c r="BC403" s="89"/>
      <c r="BD403" s="446"/>
      <c r="BE403" s="446"/>
      <c r="BF403" s="89"/>
      <c r="BG403" s="447"/>
      <c r="BH403" s="447"/>
      <c r="BI403" s="443"/>
      <c r="BN403" s="25"/>
      <c r="BP403" s="7"/>
      <c r="BQ403" s="7"/>
      <c r="BR403" s="7"/>
      <c r="BS403" s="7"/>
      <c r="BT403" s="7"/>
      <c r="BU403" s="7"/>
      <c r="BV403" s="7"/>
      <c r="BW403" s="7"/>
      <c r="BX403" s="7"/>
      <c r="BY403" s="7"/>
      <c r="BZ403" s="7"/>
    </row>
    <row r="404" spans="1:78" ht="33" thickBot="1" x14ac:dyDescent="0.25">
      <c r="A404" t="str">
        <f>IF(Test_Bible!B325="","F","O")</f>
        <v>F</v>
      </c>
      <c r="B404" s="1700" t="str">
        <f>'Cpts AR +indép + Sommaire'!S61</f>
        <v>Rôle actif de l'enfant</v>
      </c>
      <c r="C404" s="287" t="str">
        <f>'Cpts AR +indép + Sommaire'!O61</f>
        <v>E32</v>
      </c>
      <c r="D404" s="25" t="str">
        <f>'Cpts AR +indép + Sommaire'!P61</f>
        <v>Votre enfant vous accuse de mentir, de voler, etc.</v>
      </c>
      <c r="E404" s="78" t="s">
        <v>1832</v>
      </c>
      <c r="F404" s="709">
        <f>'Cpts AR +indép + Sommaire'!Q61</f>
        <v>0</v>
      </c>
      <c r="G404" s="709">
        <f>'Cpts AR +indép + Sommaire'!R61</f>
        <v>2</v>
      </c>
      <c r="H404" s="709">
        <f>F404*G404</f>
        <v>0</v>
      </c>
      <c r="I404" s="1350">
        <v>4</v>
      </c>
      <c r="J404" s="1343">
        <v>10</v>
      </c>
      <c r="K404" s="31" t="b">
        <f>IF(AND(F404&gt;=I404,F404&lt;=J404),TRUE,FALSE)</f>
        <v>0</v>
      </c>
      <c r="L404" s="31"/>
      <c r="M404" s="31"/>
      <c r="N404" s="31"/>
      <c r="O404" s="1351"/>
      <c r="P404" s="1350">
        <v>2</v>
      </c>
      <c r="Q404" s="1343">
        <v>7</v>
      </c>
      <c r="R404" s="1351" t="b">
        <f>IF(AND(F404&gt;=P404,F404&lt;=Q404),TRUE,FALSE)</f>
        <v>0</v>
      </c>
      <c r="S404" s="1374"/>
      <c r="T404" s="1375"/>
      <c r="U404" s="1351"/>
      <c r="V404" s="807"/>
      <c r="W404" s="821"/>
      <c r="X404" s="822"/>
      <c r="Y404" s="821"/>
      <c r="Z404" s="822"/>
      <c r="AA404" s="821"/>
      <c r="AB404" s="822"/>
      <c r="AD404" s="10"/>
      <c r="AE404" s="10"/>
      <c r="AF404" s="10"/>
      <c r="AG404" s="832">
        <f>IF(K404=TRUE,H404,0)</f>
        <v>0</v>
      </c>
      <c r="AH404" s="832">
        <f>IF(R404=TRUE,H404,0)</f>
        <v>0</v>
      </c>
      <c r="AI404" s="832">
        <f>IF(U404=TRUE,H404,0)</f>
        <v>0</v>
      </c>
      <c r="AJ404" s="1490">
        <f t="shared" si="830"/>
        <v>0</v>
      </c>
      <c r="AK404" s="1490">
        <f t="shared" si="831"/>
        <v>0</v>
      </c>
      <c r="AL404" s="1490">
        <f t="shared" si="826"/>
        <v>0</v>
      </c>
      <c r="AM404" s="1490">
        <f t="shared" si="827"/>
        <v>0</v>
      </c>
      <c r="AN404" s="1490">
        <f t="shared" si="828"/>
        <v>0</v>
      </c>
      <c r="AO404" s="1490">
        <f t="shared" si="829"/>
        <v>0</v>
      </c>
      <c r="AV404" s="7"/>
      <c r="AX404" s="7"/>
      <c r="AY404" s="734"/>
      <c r="AZ404" s="734"/>
      <c r="BA404" s="87"/>
      <c r="BB404" s="442"/>
      <c r="BC404" s="89"/>
      <c r="BD404" s="446"/>
      <c r="BE404" s="446"/>
      <c r="BF404" s="89"/>
      <c r="BG404" s="447"/>
      <c r="BH404" s="447"/>
      <c r="BI404" s="443"/>
      <c r="BN404" s="25"/>
      <c r="BP404" s="7"/>
      <c r="BQ404" s="7"/>
      <c r="BR404" s="7"/>
      <c r="BS404" s="7"/>
      <c r="BT404" s="7"/>
      <c r="BU404" s="7"/>
      <c r="BV404" s="7"/>
      <c r="BW404" s="7"/>
      <c r="BX404" s="7"/>
      <c r="BY404" s="7"/>
      <c r="BZ404" s="7"/>
    </row>
    <row r="405" spans="1:78" ht="35" thickBot="1" x14ac:dyDescent="0.25">
      <c r="B405" s="1700"/>
      <c r="C405" s="727" t="s">
        <v>611</v>
      </c>
      <c r="D405" s="728" t="str">
        <f>_xlfn.XLOOKUP(H405,H402:H404,D402:D404)</f>
        <v>L'autre parent a informé votre enfant du contexte juridique, financier ou autre associé au conflit vous opposant.</v>
      </c>
      <c r="E405" s="728" t="str">
        <f>_xlfn.XLOOKUP(H405,H402:H404,E402:E404)</f>
        <v>est informé du contexte juridique ou autre sujet associé au conflit</v>
      </c>
      <c r="F405" s="729"/>
      <c r="G405" s="729"/>
      <c r="H405" s="729">
        <f>IF(AND(K402=TRUE,K403=FALSE,K404=FALSE),H402,IF(AND(K402=FALSE,K403=TRUE,K404=FALSE),H403,IF(AND(K402=FALSE,K403=FALSE,K404=TRUE),H404,MAX(H402:H404))))</f>
        <v>20</v>
      </c>
      <c r="I405" s="1356"/>
      <c r="J405" s="730"/>
      <c r="K405" s="731" t="b">
        <f>IF(AND(K402=FALSE,K404=FALSE),FALSE,TRUE)</f>
        <v>1</v>
      </c>
      <c r="L405" s="1339"/>
      <c r="M405" s="1339"/>
      <c r="N405" s="1339"/>
      <c r="O405" s="1357"/>
      <c r="P405" s="1356"/>
      <c r="Q405" s="730"/>
      <c r="R405" s="731" t="b">
        <f>IF(AND(R402=FALSE,R404=FALSE),FALSE,TRUE)</f>
        <v>0</v>
      </c>
      <c r="S405" s="1356"/>
      <c r="T405" s="730"/>
      <c r="U405" s="731"/>
      <c r="V405" s="807"/>
      <c r="W405" s="821" t="str">
        <f>IF(K405=TRUE,"V","F")</f>
        <v>V</v>
      </c>
      <c r="X405" s="822"/>
      <c r="Y405" s="821" t="str">
        <f>IF(R405=TRUE,"V","F")</f>
        <v>F</v>
      </c>
      <c r="Z405" s="822"/>
      <c r="AA405" s="821"/>
      <c r="AB405" s="822"/>
      <c r="AD405" s="10"/>
      <c r="AE405" s="10"/>
      <c r="AF405" s="10"/>
      <c r="AG405" s="1742">
        <f>IF($K405=TRUE,MAX(AG402:AG404),0)</f>
        <v>20</v>
      </c>
      <c r="AH405" s="1742">
        <f>IF($R405=TRUE,MAX(AH402:AH404),0)</f>
        <v>0</v>
      </c>
      <c r="AI405" s="1742">
        <f>IF($U405=TRUE,MAX(AI402:AI404),0)</f>
        <v>0</v>
      </c>
      <c r="AJ405" s="1742">
        <f>MAX(AJ402:AJ404)</f>
        <v>8</v>
      </c>
      <c r="AK405" s="1742">
        <f>MAX(AK402:AK404)</f>
        <v>20</v>
      </c>
      <c r="AL405" s="1742">
        <f t="shared" ref="AL405:AO405" si="832">MAX(AL402:AL404)</f>
        <v>4</v>
      </c>
      <c r="AM405" s="1742">
        <f t="shared" si="832"/>
        <v>14</v>
      </c>
      <c r="AN405" s="1742">
        <f>MAX(AN402:AN404)</f>
        <v>0</v>
      </c>
      <c r="AO405" s="1742">
        <f t="shared" si="832"/>
        <v>0</v>
      </c>
      <c r="AV405" s="7"/>
      <c r="AX405" s="7"/>
      <c r="AY405" s="734"/>
      <c r="AZ405" s="734"/>
      <c r="BA405" s="87"/>
      <c r="BB405" s="442"/>
      <c r="BC405" s="89"/>
      <c r="BD405" s="446"/>
      <c r="BE405" s="446"/>
      <c r="BF405" s="89"/>
      <c r="BG405" s="447"/>
      <c r="BH405" s="447"/>
      <c r="BI405" s="443"/>
      <c r="BN405" s="25"/>
      <c r="BP405" s="7"/>
      <c r="BQ405" s="7"/>
      <c r="BR405" s="7"/>
      <c r="BS405" s="7"/>
      <c r="BT405" s="7"/>
      <c r="BU405" s="7"/>
      <c r="BV405" s="7"/>
      <c r="BW405" s="7"/>
      <c r="BX405" s="7"/>
      <c r="BY405" s="7"/>
      <c r="BZ405" s="7"/>
    </row>
    <row r="406" spans="1:78" ht="34" x14ac:dyDescent="0.2">
      <c r="B406" s="1700"/>
      <c r="D406" s="386" t="s">
        <v>273</v>
      </c>
      <c r="E406" s="705"/>
      <c r="F406" s="439" t="s">
        <v>349</v>
      </c>
      <c r="G406" s="33"/>
      <c r="H406" s="33">
        <f>IF(AND(K401=TRUE,K405=FALSE),H401,IF(AND(K401=FALSE,K405=TRUE),H405,IF(AND(K401=TRUE,K405=TRUE),H401+H405,MAX(H401,H405))))</f>
        <v>32</v>
      </c>
      <c r="I406" s="1358"/>
      <c r="J406" s="440"/>
      <c r="K406" s="1341"/>
      <c r="L406" s="1342" t="str">
        <f>IF(AND(K405=TRUE,K401=TRUE),E405,"")</f>
        <v>est informé du contexte juridique ou autre sujet associé au conflit</v>
      </c>
      <c r="M406" s="1342" t="str">
        <f>IF(AND(K401=TRUE,K405=FALSE),"Bien que le parent "&amp;E401&amp;" l'enfant ne semble pas s'ingérer","")</f>
        <v/>
      </c>
      <c r="N406" s="1342" t="str">
        <f>IF(AND(K401=FALSE,K405=TRUE),E405&amp;" sans signe de la participation du parent favorisé et|ou nouveau conjoint.e","")</f>
        <v/>
      </c>
      <c r="O406" s="1359" t="str">
        <f>IF(AND(K401=FALSE,K405=FALSE),"aucun comportement significatif de cette nature","")</f>
        <v/>
      </c>
      <c r="P406" s="1358"/>
      <c r="Q406" s="440"/>
      <c r="R406" s="1367"/>
      <c r="S406" s="1358"/>
      <c r="T406" s="440"/>
      <c r="U406" s="1367"/>
      <c r="V406" s="145"/>
      <c r="W406" s="823"/>
      <c r="X406" s="824">
        <f>IF(AND(W401="V",W405="V"),2,IF(OR(W401="V",W405="V"),1,0))</f>
        <v>2</v>
      </c>
      <c r="Y406" s="823"/>
      <c r="Z406" s="824">
        <f>IF(OR(Y401="V",Y405="V"),1,0)</f>
        <v>1</v>
      </c>
      <c r="AA406" s="823"/>
      <c r="AB406" s="824"/>
      <c r="AD406" s="10"/>
      <c r="AE406" s="10"/>
      <c r="AF406" s="10"/>
      <c r="AG406" s="1738">
        <f>IF(AND($W401="V",$W405="F"),AG401,IF(AND($W401="F",$W405="V"),AG405,IF(AND($W401="V",$W405="V"),AG401+AG405,0)))</f>
        <v>32</v>
      </c>
      <c r="AH406" s="1738">
        <f>IF(AND($Y401="V",$Y405="F"),AH401,IF(AND($Y401="F",$Y405="V"),AH405,IF(AND($Y401="V",$Y405="V"),AH401+AH405,0)))</f>
        <v>12</v>
      </c>
      <c r="AI406" s="1738"/>
      <c r="AJ406" s="1738">
        <f>IF(AND($W401="V",$W405="F"),AJ402,IF(AND($W401="F",$W405="V"),AJ405,IF(AND($W401="V",$W405="V"),AJ402+AJ405,0)))</f>
        <v>16</v>
      </c>
      <c r="AK406" s="1738">
        <f>IF(AND($W401="V",$W405="F"),AK402,IF(AND($W401="F",$W405="V"),AK405,IF(AND($W401="V",$W405="V"),AK402+AK405,0)))</f>
        <v>40</v>
      </c>
      <c r="AL406" s="1738">
        <f>IF(AND($Y401="V",$Y405="F"),AL402,IF(AND($Y401="F",$Y405="V"),AL405,IF(AND($Y401="V",$Y405="V"),AL402+AL405,0)))</f>
        <v>4</v>
      </c>
      <c r="AM406" s="1738">
        <f>IF(AND($Y401="V",$Y405="F"),AM402,IF(AND($Y401="F",$Y405="V"),AM405,IF(AND($Y401="V",$Y405="V"),AM402+AM405,0)))</f>
        <v>14</v>
      </c>
      <c r="AN406" s="1738"/>
      <c r="AO406" s="1738"/>
      <c r="AY406" s="734"/>
      <c r="AZ406" s="734"/>
      <c r="BA406" s="87"/>
      <c r="BB406" s="442"/>
      <c r="BC406" s="89"/>
      <c r="BD406" s="446"/>
      <c r="BE406" s="446"/>
      <c r="BF406" s="89"/>
      <c r="BG406" s="447"/>
      <c r="BH406" s="447"/>
      <c r="BI406" s="443"/>
    </row>
    <row r="407" spans="1:78" ht="19" x14ac:dyDescent="0.2">
      <c r="B407" s="1700"/>
      <c r="C407" t="s">
        <v>238</v>
      </c>
      <c r="I407" s="122"/>
      <c r="L407" s="32"/>
      <c r="M407" s="32"/>
      <c r="N407" s="32"/>
      <c r="O407" s="1379"/>
      <c r="P407" s="122"/>
      <c r="R407" s="292"/>
      <c r="S407" s="122"/>
      <c r="U407" s="292"/>
      <c r="V407" s="32"/>
      <c r="W407" s="821"/>
      <c r="X407" s="822"/>
      <c r="Y407" s="821"/>
      <c r="Z407" s="822"/>
      <c r="AA407" s="821"/>
      <c r="AB407" s="822"/>
      <c r="AD407" s="10"/>
      <c r="AE407" s="10"/>
      <c r="AF407" s="10"/>
      <c r="AG407" s="832"/>
      <c r="AH407" s="832"/>
      <c r="AI407" s="832"/>
      <c r="AJ407" s="1490"/>
      <c r="AK407" s="1490"/>
      <c r="AL407" s="1490"/>
      <c r="AM407" s="1490"/>
      <c r="AN407" s="1490"/>
      <c r="AO407" s="1490"/>
      <c r="AY407" s="734"/>
      <c r="AZ407" s="734"/>
      <c r="BA407" s="87"/>
      <c r="BB407" s="442"/>
      <c r="BC407" s="89"/>
      <c r="BD407" s="446"/>
      <c r="BE407" s="446"/>
      <c r="BF407" s="89"/>
      <c r="BG407" s="447"/>
      <c r="BH407" s="447"/>
      <c r="BI407" s="443"/>
    </row>
    <row r="408" spans="1:78" ht="34" x14ac:dyDescent="0.2">
      <c r="A408" t="str">
        <f>IF(Test_Bible!B151="","F","O")</f>
        <v>O</v>
      </c>
      <c r="B408" s="1700" t="str">
        <f>'Cpts AR +indép + Sommaire'!Y59</f>
        <v>Parentification</v>
      </c>
      <c r="C408" s="825" t="str">
        <f>'Cpts AR +indép + Sommaire'!U59</f>
        <v>PCR15</v>
      </c>
      <c r="D408" s="826" t="str">
        <f>'Cpts AR +indép + Sommaire'!V59</f>
        <v>Il est important que votre enfant soit au courant des enjeux de la séparation et/ou du conflit qui vous oppose à l'autre parent.</v>
      </c>
      <c r="E408" s="826"/>
      <c r="F408" s="830">
        <f>'Cpts AR +indép + Sommaire'!W59</f>
        <v>4</v>
      </c>
      <c r="G408" s="830">
        <f>'Cpts AR +indép + Sommaire'!X59</f>
        <v>3</v>
      </c>
      <c r="H408" s="830">
        <f>F408*G408</f>
        <v>12</v>
      </c>
      <c r="I408" s="1350">
        <v>4</v>
      </c>
      <c r="J408" s="1343">
        <v>10</v>
      </c>
      <c r="K408" s="31" t="b">
        <f>IF(AND(F408&gt;=I408,F408&lt;=J408),TRUE,FALSE)</f>
        <v>1</v>
      </c>
      <c r="L408" s="26"/>
      <c r="M408" s="26"/>
      <c r="N408" s="26"/>
      <c r="O408" s="1360"/>
      <c r="P408" s="1374">
        <v>11</v>
      </c>
      <c r="Q408" s="1375">
        <v>11</v>
      </c>
      <c r="R408" s="1351" t="b">
        <f>IF(AND(F408&gt;=P408,F408&lt;=Q408),TRUE,FALSE)</f>
        <v>0</v>
      </c>
      <c r="S408" s="1350">
        <v>4</v>
      </c>
      <c r="T408" s="1343">
        <v>7</v>
      </c>
      <c r="U408" s="1351" t="b">
        <f>IF(AND(F408&gt;=S408,F408&lt;=T408),TRUE,FALSE)</f>
        <v>1</v>
      </c>
      <c r="V408" s="32"/>
      <c r="W408" s="821"/>
      <c r="X408" s="822"/>
      <c r="Y408" s="821"/>
      <c r="Z408" s="822"/>
      <c r="AA408" s="821"/>
      <c r="AB408" s="822"/>
      <c r="AD408" s="10"/>
      <c r="AE408" s="10"/>
      <c r="AF408" s="10"/>
      <c r="AG408" s="832">
        <f>IF($K408=TRUE,H408,0)</f>
        <v>12</v>
      </c>
      <c r="AH408" s="832">
        <f>IF($R408=TRUE,H408,0)</f>
        <v>0</v>
      </c>
      <c r="AI408" s="832">
        <f>IF($U408=TRUE,H408,0)</f>
        <v>12</v>
      </c>
      <c r="AJ408" s="1490">
        <f t="shared" ref="AJ408:AJ409" si="833">IF(OR(I408=11,A408="F"),0,G408*I408)</f>
        <v>12</v>
      </c>
      <c r="AK408" s="1490">
        <f t="shared" ref="AK408:AK409" si="834">IF(OR(J408=11,A408="F"),0,G408*J408)</f>
        <v>30</v>
      </c>
      <c r="AL408" s="1490">
        <f t="shared" ref="AL408:AL409" si="835">IF(OR(P408=11,A408="F"),0,G408*P408)</f>
        <v>0</v>
      </c>
      <c r="AM408" s="1490">
        <f t="shared" ref="AM408:AM409" si="836">IF(OR(Q408=11,A408="F"),0,G408*Q408)</f>
        <v>0</v>
      </c>
      <c r="AN408" s="1490">
        <f t="shared" ref="AN408:AN409" si="837">IF(OR(S408=11,A408="F"),0,S408*G408)</f>
        <v>12</v>
      </c>
      <c r="AO408" s="1490">
        <f t="shared" ref="AO408:AO409" si="838">IF(OR(T408=11,A408="F"),0,T408*G408)</f>
        <v>21</v>
      </c>
      <c r="AY408" s="734"/>
      <c r="AZ408" s="734"/>
      <c r="BA408" s="87"/>
      <c r="BB408" s="442"/>
      <c r="BC408" s="89"/>
      <c r="BD408" s="446"/>
      <c r="BE408" s="446"/>
      <c r="BF408" s="89"/>
      <c r="BG408" s="447"/>
      <c r="BH408" s="447"/>
      <c r="BI408" s="443"/>
    </row>
    <row r="409" spans="1:78" ht="20" thickBot="1" x14ac:dyDescent="0.25">
      <c r="B409" s="1700"/>
      <c r="C409" s="825"/>
      <c r="D409" s="829"/>
      <c r="E409" s="826"/>
      <c r="F409" s="830"/>
      <c r="G409" s="830"/>
      <c r="H409" s="830">
        <f>F409*G409</f>
        <v>0</v>
      </c>
      <c r="I409" s="1374">
        <v>11</v>
      </c>
      <c r="J409" s="1375">
        <v>11</v>
      </c>
      <c r="K409" s="31" t="b">
        <f>IF(AND(F409&gt;=I409,F409&lt;=J409),TRUE,FALSE)</f>
        <v>0</v>
      </c>
      <c r="L409" s="26"/>
      <c r="M409" s="26"/>
      <c r="N409" s="26"/>
      <c r="O409" s="1360"/>
      <c r="P409" s="1374">
        <v>11</v>
      </c>
      <c r="Q409" s="1375">
        <v>11</v>
      </c>
      <c r="R409" s="1351" t="b">
        <f>IF(AND(F409&gt;=P409,F409&lt;=Q409),TRUE,FALSE)</f>
        <v>0</v>
      </c>
      <c r="S409" s="1374">
        <v>11</v>
      </c>
      <c r="T409" s="1375">
        <v>11</v>
      </c>
      <c r="U409" s="1351" t="b">
        <f>IF(AND(F409&gt;=S409,F409&lt;=T409),TRUE,FALSE)</f>
        <v>0</v>
      </c>
      <c r="W409" s="821"/>
      <c r="X409" s="822"/>
      <c r="Y409" s="821"/>
      <c r="Z409" s="822"/>
      <c r="AA409" s="821"/>
      <c r="AB409" s="822"/>
      <c r="AD409" s="10"/>
      <c r="AE409" s="10"/>
      <c r="AF409" s="10"/>
      <c r="AG409" s="832">
        <f>IF($K409=TRUE,H409,0)</f>
        <v>0</v>
      </c>
      <c r="AH409" s="832">
        <f>IF($R409=TRUE,H409,0)</f>
        <v>0</v>
      </c>
      <c r="AI409" s="832">
        <f>IF($U409=TRUE,H409,0)</f>
        <v>0</v>
      </c>
      <c r="AJ409" s="1490">
        <f t="shared" si="833"/>
        <v>0</v>
      </c>
      <c r="AK409" s="1490">
        <f t="shared" si="834"/>
        <v>0</v>
      </c>
      <c r="AL409" s="1490">
        <f t="shared" si="835"/>
        <v>0</v>
      </c>
      <c r="AM409" s="1490">
        <f t="shared" si="836"/>
        <v>0</v>
      </c>
      <c r="AN409" s="1490">
        <f t="shared" si="837"/>
        <v>0</v>
      </c>
      <c r="AO409" s="1490">
        <f t="shared" si="838"/>
        <v>0</v>
      </c>
      <c r="AY409" s="734"/>
      <c r="AZ409" s="734"/>
      <c r="BA409" s="87"/>
      <c r="BB409" s="442"/>
      <c r="BC409" s="89"/>
      <c r="BD409" s="446"/>
      <c r="BE409" s="446"/>
      <c r="BF409" s="89"/>
      <c r="BG409" s="447"/>
      <c r="BH409" s="447"/>
      <c r="BI409" s="443"/>
    </row>
    <row r="410" spans="1:78" ht="27" thickBot="1" x14ac:dyDescent="0.35">
      <c r="D410" s="16"/>
      <c r="E410" s="16"/>
      <c r="F410" s="67"/>
      <c r="G410" s="438"/>
      <c r="H410" s="33">
        <f>IF(AND(K408=TRUE,K409=FALSE),H408,IF(AND(K408=FALSE,K409=TRUE),H409,MAX(H408,H409)))</f>
        <v>12</v>
      </c>
      <c r="I410" s="1371"/>
      <c r="J410" s="1372"/>
      <c r="K410" s="1378" t="b">
        <f>IF(AND(K408=FALSE,K409=FALSE),FALSE,TRUE)</f>
        <v>1</v>
      </c>
      <c r="L410" s="1361"/>
      <c r="M410" s="1362"/>
      <c r="N410" s="1362"/>
      <c r="O410" s="1363"/>
      <c r="P410" s="1371"/>
      <c r="Q410" s="1372"/>
      <c r="R410" s="1378" t="b">
        <f>IF(AND(R408=FALSE,R409=FALSE),FALSE,TRUE)</f>
        <v>0</v>
      </c>
      <c r="S410" s="1383"/>
      <c r="T410" s="1384"/>
      <c r="U410" s="1385" t="b">
        <f>IF(AND(U408=FALSE,U409=FALSE),FALSE,TRUE)</f>
        <v>1</v>
      </c>
      <c r="V410" s="809"/>
      <c r="W410" s="1315" t="str">
        <f>IF(K410=TRUE,"V","F")</f>
        <v>V</v>
      </c>
      <c r="X410" s="1316"/>
      <c r="Y410" s="1315" t="str">
        <f>IF(R410=TRUE,"V","F")</f>
        <v>F</v>
      </c>
      <c r="Z410" s="1316"/>
      <c r="AA410" s="1315" t="str">
        <f>IF(U410=TRUE,"V","F")</f>
        <v>V</v>
      </c>
      <c r="AB410" s="1316"/>
      <c r="AD410" s="10"/>
      <c r="AE410" s="10"/>
      <c r="AF410" s="10"/>
      <c r="AG410" s="1742">
        <f>IF(AND($K408=TRUE,$K409=FALSE),AG408,IF(AND($K408=FALSE,$K409=TRUE),AG409,MAX(AG408,AG409)))</f>
        <v>12</v>
      </c>
      <c r="AH410" s="1742">
        <f>IF(AND($R408=TRUE,$R409=FALSE),AH408,IF(AND($R408=FALSE,$R409=TRUE),AH409,MAX(AH408,AH409)))</f>
        <v>0</v>
      </c>
      <c r="AI410" s="1742">
        <f>IF(AND($U408=TRUE,$U409=FALSE),AI408,IF(AND($U408=FALSE,$U409=TRUE),AI409,MAX(AI408,AI409)))</f>
        <v>12</v>
      </c>
      <c r="AJ410" s="1742">
        <f>IF(AND($K408=TRUE,$K409=FALSE),AJ408,IF(AND($K408=FALSE,$K409=TRUE),AJ409,MAX(AJ408,AJ409)))</f>
        <v>12</v>
      </c>
      <c r="AK410" s="1742">
        <f>IF(AND($K408=TRUE,$K409=FALSE),AK408,IF(AND($K408=FALSE,$K409=TRUE),AK409,MAX(AK408,AK409)))</f>
        <v>30</v>
      </c>
      <c r="AL410" s="1742">
        <f>IF(AND($R408=TRUE,$R409=FALSE),AL408,IF(AND($R408=FALSE,$R409=TRUE),AL409,MAX(AL408,AL409)))</f>
        <v>0</v>
      </c>
      <c r="AM410" s="1742">
        <f>IF(AND($R408=TRUE,$R409=FALSE),AM408,IF(AND($R408=FALSE,$R409=TRUE),AM409,MAX(AM408,AM409)))</f>
        <v>0</v>
      </c>
      <c r="AN410" s="1742">
        <f>IF(AND($U408=TRUE,$U409=FALSE),AN408,IF(AND($U408=FALSE,$U409=TRUE),AN409,MAX(AN408,AN409)))</f>
        <v>12</v>
      </c>
      <c r="AO410" s="1742">
        <f>IF(AND($U408=TRUE,$U409=FALSE),AO408,IF(AND($U408=FALSE,$U409=TRUE),AO409,MAX(AO408,AO409)))</f>
        <v>21</v>
      </c>
      <c r="AY410" s="734"/>
      <c r="AZ410" s="734"/>
      <c r="BA410" s="87"/>
      <c r="BB410" s="442"/>
      <c r="BC410" s="89"/>
      <c r="BD410" s="446"/>
      <c r="BE410" s="446"/>
      <c r="BF410" s="89"/>
      <c r="BG410" s="447"/>
      <c r="BH410" s="447"/>
      <c r="BI410" s="443"/>
    </row>
    <row r="411" spans="1:78" ht="27" thickBot="1" x14ac:dyDescent="0.35">
      <c r="D411" s="16"/>
      <c r="E411" s="16"/>
      <c r="F411" s="67"/>
      <c r="G411" s="438"/>
      <c r="H411" s="438"/>
      <c r="I411" s="8"/>
      <c r="J411" s="8"/>
      <c r="K411" s="808"/>
      <c r="L411" s="809"/>
      <c r="M411" s="809"/>
      <c r="N411" s="809"/>
      <c r="O411" s="809"/>
      <c r="P411" s="809"/>
      <c r="Q411" s="809"/>
      <c r="R411" s="809"/>
      <c r="S411" s="809"/>
      <c r="T411" s="809"/>
      <c r="U411" s="809"/>
      <c r="V411" s="809"/>
      <c r="W411" s="1376"/>
      <c r="X411" s="1377">
        <f>IF(AND(W410="V",W401="V"),X406-1,X406)</f>
        <v>1</v>
      </c>
      <c r="Y411" s="1376"/>
      <c r="Z411" s="1377">
        <f>IF(OR(Y401="V",Y405="V",Y410="V"),1,0)</f>
        <v>1</v>
      </c>
      <c r="AA411" s="1376"/>
      <c r="AB411" s="1377">
        <f>IF(AA401="V",1,IF(AA410="V",1,0))</f>
        <v>1</v>
      </c>
      <c r="AD411" s="10">
        <f>X411</f>
        <v>1</v>
      </c>
      <c r="AE411" s="10">
        <f>Z411</f>
        <v>1</v>
      </c>
      <c r="AF411" s="10">
        <f>AB411</f>
        <v>1</v>
      </c>
      <c r="AG411" s="1741">
        <f>IF($W410="F",AG406,AG406+AG410)</f>
        <v>44</v>
      </c>
      <c r="AH411" s="1741">
        <f>IF($Y410="F",AH406,AH406+AH410)</f>
        <v>12</v>
      </c>
      <c r="AI411" s="1741">
        <f>IF(AND($AA402="V",$AA410="F"),AI402,IF(AND($AA402="F",$AA410="V"),AI410,IF(AND($AA402="V",$AA410="V"),AI402+AI410,0)))</f>
        <v>0</v>
      </c>
      <c r="AJ411" s="1741">
        <f>IF($W410="F",AJ406,AJ406+AJ410)</f>
        <v>28</v>
      </c>
      <c r="AK411" s="1741">
        <f t="shared" ref="AK411" si="839">IF($W410="F",AK406,AK406+AK410)</f>
        <v>70</v>
      </c>
      <c r="AL411" s="1741">
        <f t="shared" ref="AL411" si="840">IF($Y410="F",AL406,AL406+AL410)</f>
        <v>4</v>
      </c>
      <c r="AM411" s="1741">
        <f t="shared" ref="AM411" si="841">IF($Y410="F",AM406,AM406+AM410)</f>
        <v>14</v>
      </c>
      <c r="AN411" s="1741">
        <f>IF(AND($AA401="V",$AA410="F"),AN401,IF(AND($AA401="F",$AA410="V"),AN410,IF(AND($AA401="V",$AA410="V"),AN401+AN410,0)))</f>
        <v>24</v>
      </c>
      <c r="AO411" s="1741">
        <f>IF(AND($AA401="V",$AA410="F"),AO401,IF(AND($AA401="F",$AA410="V"),AO410,IF(AND($AA401="V",$AA410="V"),AO401+AO410,0)))</f>
        <v>42</v>
      </c>
      <c r="AY411" s="734"/>
      <c r="AZ411" s="734"/>
      <c r="BA411" s="87"/>
      <c r="BB411" s="442"/>
      <c r="BC411" s="89"/>
      <c r="BD411" s="446"/>
      <c r="BE411" s="446"/>
      <c r="BF411" s="89"/>
      <c r="BG411" s="447"/>
      <c r="BH411" s="447"/>
      <c r="BI411" s="443"/>
    </row>
    <row r="412" spans="1:78" x14ac:dyDescent="0.3">
      <c r="D412" s="16"/>
      <c r="E412" s="16"/>
      <c r="F412" s="67"/>
      <c r="G412" s="438"/>
      <c r="H412" s="438"/>
      <c r="I412" s="1344"/>
      <c r="J412" s="1345"/>
      <c r="K412" s="1346"/>
      <c r="L412" s="2603"/>
      <c r="M412" s="2603"/>
      <c r="N412" s="2603"/>
      <c r="O412" s="1347"/>
      <c r="P412" s="1364"/>
      <c r="Q412" s="1346"/>
      <c r="R412" s="1347"/>
      <c r="S412" s="1364"/>
      <c r="T412" s="1346"/>
      <c r="U412" s="1347"/>
      <c r="V412" s="145"/>
      <c r="W412" s="1387"/>
      <c r="X412" s="1388"/>
      <c r="Y412" s="1231"/>
      <c r="Z412" s="1231"/>
      <c r="AA412" s="1231"/>
      <c r="AB412" s="1231"/>
      <c r="AD412" s="10"/>
      <c r="AE412" s="10"/>
      <c r="AF412" s="10"/>
      <c r="AY412" s="734"/>
      <c r="AZ412" s="734"/>
      <c r="BA412" s="87"/>
      <c r="BB412" s="442"/>
      <c r="BC412" s="89"/>
      <c r="BD412" s="446"/>
      <c r="BE412" s="446"/>
      <c r="BF412" s="89"/>
      <c r="BG412" s="447"/>
      <c r="BH412" s="447"/>
      <c r="BI412" s="443"/>
    </row>
    <row r="413" spans="1:78" x14ac:dyDescent="0.3">
      <c r="B413" s="1699">
        <v>20</v>
      </c>
      <c r="D413" s="441" t="str">
        <f>'Cpts AR +indép + Sommaire'!B63</f>
        <v>L'enfant est messager de la logistique</v>
      </c>
      <c r="E413" s="84"/>
      <c r="F413" s="50"/>
      <c r="G413" s="18"/>
      <c r="H413" s="18"/>
      <c r="I413" s="2595" t="s">
        <v>604</v>
      </c>
      <c r="J413" s="2596"/>
      <c r="K413" s="2596"/>
      <c r="L413" s="2597" t="s">
        <v>1086</v>
      </c>
      <c r="M413" s="2597"/>
      <c r="N413" s="2597"/>
      <c r="O413" s="2598"/>
      <c r="P413" s="2599" t="s">
        <v>603</v>
      </c>
      <c r="Q413" s="2600"/>
      <c r="R413" s="2601"/>
      <c r="S413" s="2590" t="s">
        <v>605</v>
      </c>
      <c r="T413" s="2591"/>
      <c r="U413" s="2592"/>
      <c r="V413" s="15"/>
      <c r="W413" s="817"/>
      <c r="X413" s="817"/>
      <c r="Y413" s="817"/>
      <c r="Z413" s="817"/>
      <c r="AA413" s="817"/>
      <c r="AB413" s="818"/>
      <c r="AD413" s="10"/>
      <c r="AE413" s="10"/>
      <c r="AF413" s="10"/>
      <c r="AG413" s="1386" t="s">
        <v>604</v>
      </c>
      <c r="AH413" s="1386" t="s">
        <v>603</v>
      </c>
      <c r="AI413" s="1386" t="s">
        <v>605</v>
      </c>
      <c r="AJ413" s="2589" t="s">
        <v>604</v>
      </c>
      <c r="AK413" s="2589"/>
      <c r="AL413" s="2589" t="s">
        <v>603</v>
      </c>
      <c r="AM413" s="2589"/>
      <c r="AN413" s="2589" t="s">
        <v>605</v>
      </c>
      <c r="AO413" s="2589"/>
      <c r="AY413" s="734"/>
      <c r="AZ413" s="734"/>
      <c r="BA413" s="87"/>
      <c r="BB413" s="442"/>
      <c r="BC413" s="89"/>
      <c r="BD413" s="446"/>
      <c r="BE413" s="446"/>
      <c r="BF413" s="89"/>
      <c r="BG413" s="447"/>
      <c r="BH413" s="447"/>
      <c r="BI413" s="443"/>
    </row>
    <row r="414" spans="1:78" ht="36" x14ac:dyDescent="0.3">
      <c r="D414" s="79" t="s">
        <v>779</v>
      </c>
      <c r="E414" s="835" t="s">
        <v>778</v>
      </c>
      <c r="F414" s="26" t="s">
        <v>226</v>
      </c>
      <c r="G414" s="26" t="s">
        <v>22</v>
      </c>
      <c r="H414" s="26" t="s">
        <v>612</v>
      </c>
      <c r="I414" s="1348" t="s">
        <v>269</v>
      </c>
      <c r="J414" s="29" t="s">
        <v>270</v>
      </c>
      <c r="K414" s="29" t="s">
        <v>271</v>
      </c>
      <c r="L414" s="29" t="s">
        <v>363</v>
      </c>
      <c r="M414" s="29" t="s">
        <v>339</v>
      </c>
      <c r="N414" s="29" t="s">
        <v>340</v>
      </c>
      <c r="O414" s="1349" t="s">
        <v>341</v>
      </c>
      <c r="P414" s="1348" t="s">
        <v>269</v>
      </c>
      <c r="Q414" s="29" t="s">
        <v>270</v>
      </c>
      <c r="R414" s="1349" t="s">
        <v>271</v>
      </c>
      <c r="S414" s="1348" t="s">
        <v>269</v>
      </c>
      <c r="T414" s="29" t="s">
        <v>270</v>
      </c>
      <c r="U414" s="1349" t="s">
        <v>271</v>
      </c>
      <c r="V414" s="736"/>
      <c r="W414" s="827" t="s">
        <v>604</v>
      </c>
      <c r="X414" s="828" t="s">
        <v>754</v>
      </c>
      <c r="Y414" s="827" t="s">
        <v>603</v>
      </c>
      <c r="Z414" s="828" t="s">
        <v>755</v>
      </c>
      <c r="AA414" s="827" t="s">
        <v>605</v>
      </c>
      <c r="AB414" s="828" t="s">
        <v>756</v>
      </c>
      <c r="AD414" s="10"/>
      <c r="AE414" s="10"/>
      <c r="AF414" s="10"/>
      <c r="AG414" s="10"/>
      <c r="AH414" s="10"/>
      <c r="AI414" s="10"/>
      <c r="AJ414" s="1490" t="s">
        <v>1058</v>
      </c>
      <c r="AK414" s="1490" t="s">
        <v>1059</v>
      </c>
      <c r="AL414" s="1490" t="s">
        <v>1058</v>
      </c>
      <c r="AM414" s="1490" t="s">
        <v>1059</v>
      </c>
      <c r="AN414" s="1490" t="s">
        <v>1058</v>
      </c>
      <c r="AO414" s="1490" t="s">
        <v>1059</v>
      </c>
      <c r="AY414" s="734"/>
      <c r="AZ414" s="734"/>
      <c r="BA414" s="87"/>
      <c r="BB414" s="442"/>
      <c r="BC414" s="89"/>
      <c r="BD414" s="446"/>
      <c r="BE414" s="446"/>
      <c r="BF414" s="89"/>
      <c r="BG414" s="447"/>
      <c r="BH414" s="447"/>
      <c r="BI414" s="443"/>
    </row>
    <row r="415" spans="1:78" ht="51" x14ac:dyDescent="0.2">
      <c r="A415" t="str">
        <f>IF(Test_Bible!B248="","F","O")</f>
        <v>O</v>
      </c>
      <c r="B415" s="1700" t="str">
        <f>'Cpts AR +indép + Sommaire'!G63</f>
        <v>Rôle actif de l'enfant</v>
      </c>
      <c r="C415" s="379" t="str">
        <f>'Cpts AR +indép + Sommaire'!C63</f>
        <v>PFA34</v>
      </c>
      <c r="D415" s="25" t="str">
        <f>'Cpts AR +indép + Sommaire'!D63</f>
        <v>L’autre parent refuse de vous parler et demande à votre enfant de faire les messages et autres demandes entourant la logistique familiale.</v>
      </c>
      <c r="E415" s="78" t="s">
        <v>650</v>
      </c>
      <c r="F415" s="709">
        <f>'Cpts AR +indép + Sommaire'!E63</f>
        <v>4</v>
      </c>
      <c r="G415" s="709">
        <f>'Cpts AR +indép + Sommaire'!F63</f>
        <v>2</v>
      </c>
      <c r="H415" s="709">
        <f>F415*G415</f>
        <v>8</v>
      </c>
      <c r="I415" s="1374">
        <v>11</v>
      </c>
      <c r="J415" s="1375">
        <v>11</v>
      </c>
      <c r="K415" s="31" t="b">
        <f>IF(AND(F415&gt;=I415,F415&lt;=J415),TRUE,FALSE)</f>
        <v>0</v>
      </c>
      <c r="L415" s="31"/>
      <c r="M415" s="31"/>
      <c r="N415" s="31"/>
      <c r="O415" s="1351"/>
      <c r="P415" s="1350">
        <v>2</v>
      </c>
      <c r="Q415" s="1343">
        <v>10</v>
      </c>
      <c r="R415" s="1351" t="b">
        <f>IF(AND(F415&gt;=P415,F415&lt;=Q415),TRUE,FALSE)</f>
        <v>1</v>
      </c>
      <c r="S415" s="1350">
        <v>7</v>
      </c>
      <c r="T415" s="1343">
        <v>10</v>
      </c>
      <c r="U415" s="1351" t="b">
        <f>IF(AND(F415&gt;=S415,F415&lt;=T415),TRUE,FALSE)</f>
        <v>0</v>
      </c>
      <c r="V415" s="807"/>
      <c r="W415" s="819"/>
      <c r="X415" s="820"/>
      <c r="Y415" s="819"/>
      <c r="Z415" s="820"/>
      <c r="AA415" s="819"/>
      <c r="AB415" s="820"/>
      <c r="AD415" s="10"/>
      <c r="AE415" s="10"/>
      <c r="AF415" s="10"/>
      <c r="AG415" s="832">
        <f>IF($K415=TRUE,H415,0)</f>
        <v>0</v>
      </c>
      <c r="AH415" s="832">
        <f>IF($R415=TRUE,H415,0)</f>
        <v>8</v>
      </c>
      <c r="AI415" s="832">
        <f>IF($U415=TRUE,H415,0)</f>
        <v>0</v>
      </c>
      <c r="AJ415" s="1490">
        <f t="shared" ref="AJ415:AJ416" si="842">IF(OR(I415=11,A415="F"),0,G415*I415)</f>
        <v>0</v>
      </c>
      <c r="AK415" s="1490">
        <f t="shared" ref="AK415:AK416" si="843">IF(OR(J415=11,A415="F"),0,G415*J415)</f>
        <v>0</v>
      </c>
      <c r="AL415" s="1490">
        <f t="shared" ref="AL415:AL416" si="844">IF(OR(P415=11,A415="F"),0,G415*P415)</f>
        <v>4</v>
      </c>
      <c r="AM415" s="1490">
        <f t="shared" ref="AM415:AM416" si="845">IF(OR(Q415=11,A415="F"),0,G415*Q415)</f>
        <v>20</v>
      </c>
      <c r="AN415" s="1490">
        <f t="shared" ref="AN415:AN416" si="846">IF(OR(S415=11,A415="F"),0,S415*G415)</f>
        <v>14</v>
      </c>
      <c r="AO415" s="1490">
        <f t="shared" ref="AO415:AO416" si="847">IF(OR(T415=11,A415="F"),0,T415*G415)</f>
        <v>20</v>
      </c>
      <c r="AY415" s="734"/>
      <c r="AZ415" s="734"/>
      <c r="BA415" s="87"/>
      <c r="BB415" s="442"/>
      <c r="BC415" s="89"/>
      <c r="BD415" s="446"/>
      <c r="BE415" s="446"/>
      <c r="BF415" s="89"/>
      <c r="BG415" s="447"/>
      <c r="BH415" s="447"/>
      <c r="BI415" s="443"/>
    </row>
    <row r="416" spans="1:78" ht="19" x14ac:dyDescent="0.2">
      <c r="B416" s="1700"/>
      <c r="C416" s="379" t="s">
        <v>260</v>
      </c>
      <c r="D416" s="25"/>
      <c r="E416" s="78"/>
      <c r="F416" s="709"/>
      <c r="G416" s="708"/>
      <c r="H416" s="709">
        <f>F416*G416</f>
        <v>0</v>
      </c>
      <c r="I416" s="1374">
        <v>11</v>
      </c>
      <c r="J416" s="1375">
        <v>11</v>
      </c>
      <c r="K416" s="31" t="b">
        <f>IF(AND(F416&gt;=I416,F416&lt;=J416),TRUE,FALSE)</f>
        <v>0</v>
      </c>
      <c r="L416" s="31"/>
      <c r="M416" s="31"/>
      <c r="N416" s="31"/>
      <c r="O416" s="1351"/>
      <c r="P416" s="1374">
        <v>11</v>
      </c>
      <c r="Q416" s="1375">
        <v>11</v>
      </c>
      <c r="R416" s="1351" t="b">
        <f>IF(AND(F416&gt;=P416,F416&lt;=Q416),TRUE,FALSE)</f>
        <v>0</v>
      </c>
      <c r="S416" s="1374">
        <v>11</v>
      </c>
      <c r="T416" s="1375">
        <v>11</v>
      </c>
      <c r="U416" s="1351" t="b">
        <f>IF(AND(F416&gt;=S416,F416&lt;=T416),TRUE,FALSE)</f>
        <v>0</v>
      </c>
      <c r="V416" s="807"/>
      <c r="W416" s="821"/>
      <c r="X416" s="822"/>
      <c r="Y416" s="821"/>
      <c r="Z416" s="822"/>
      <c r="AA416" s="821"/>
      <c r="AB416" s="822"/>
      <c r="AD416" s="10"/>
      <c r="AE416" s="10"/>
      <c r="AF416" s="10"/>
      <c r="AG416" s="832">
        <f>IF($K416=TRUE,H416,0)</f>
        <v>0</v>
      </c>
      <c r="AH416" s="832">
        <f>IF($R416=TRUE,H416,0)</f>
        <v>0</v>
      </c>
      <c r="AI416" s="832">
        <f>IF($U416=TRUE,H416,0)</f>
        <v>0</v>
      </c>
      <c r="AJ416" s="1490">
        <f t="shared" si="842"/>
        <v>0</v>
      </c>
      <c r="AK416" s="1490">
        <f t="shared" si="843"/>
        <v>0</v>
      </c>
      <c r="AL416" s="1490">
        <f t="shared" si="844"/>
        <v>0</v>
      </c>
      <c r="AM416" s="1490">
        <f t="shared" si="845"/>
        <v>0</v>
      </c>
      <c r="AN416" s="1490">
        <f t="shared" si="846"/>
        <v>0</v>
      </c>
      <c r="AO416" s="1490">
        <f t="shared" si="847"/>
        <v>0</v>
      </c>
      <c r="AY416" s="734"/>
      <c r="AZ416" s="734"/>
      <c r="BA416" s="87"/>
      <c r="BB416" s="442"/>
      <c r="BC416" s="89"/>
      <c r="BD416" s="446"/>
      <c r="BE416" s="446"/>
      <c r="BF416" s="89"/>
      <c r="BG416" s="447"/>
      <c r="BH416" s="447"/>
      <c r="BI416" s="443"/>
    </row>
    <row r="417" spans="1:78" ht="51" x14ac:dyDescent="0.2">
      <c r="B417" s="1700"/>
      <c r="C417" s="710" t="s">
        <v>609</v>
      </c>
      <c r="D417" s="711" t="str">
        <f>_xlfn.XLOOKUP(H417,H415:H416,D415:D416)</f>
        <v>L’autre parent refuse de vous parler et demande à votre enfant de faire les messages et autres demandes entourant la logistique familiale.</v>
      </c>
      <c r="E417" s="712" t="str">
        <f>_xlfn.XLOOKUP(H417,H415:H416,E415:E416)</f>
        <v>demande à l'enfant de faire les messages entourant la logistique</v>
      </c>
      <c r="F417" s="713"/>
      <c r="G417" s="713"/>
      <c r="H417" s="713">
        <f>IF(AND(K415=TRUE,K416=FALSE),H415,IF(AND(K415=FALSE,K416=TRUE),H416,IF(AND(K415=TRUE,K416=TRUE),H415+H416,MAX(H415,H416))))</f>
        <v>8</v>
      </c>
      <c r="I417" s="1352"/>
      <c r="J417" s="714"/>
      <c r="K417" s="715" t="b">
        <f>IF(AND(K415=FALSE,K416=FALSE),FALSE,TRUE)</f>
        <v>0</v>
      </c>
      <c r="L417" s="31"/>
      <c r="M417" s="31"/>
      <c r="N417" s="31"/>
      <c r="O417" s="1351"/>
      <c r="P417" s="1352"/>
      <c r="Q417" s="714"/>
      <c r="R417" s="1365" t="b">
        <f>IF(AND(R415=FALSE,R416=FALSE),FALSE,TRUE)</f>
        <v>1</v>
      </c>
      <c r="S417" s="1352"/>
      <c r="T417" s="714"/>
      <c r="U417" s="1365" t="b">
        <f>IF(AND(U415=FALSE,U416=FALSE),FALSE,TRUE)</f>
        <v>0</v>
      </c>
      <c r="V417" s="807"/>
      <c r="W417" s="821"/>
      <c r="X417" s="822"/>
      <c r="Y417" s="821"/>
      <c r="Z417" s="822"/>
      <c r="AA417" s="821"/>
      <c r="AB417" s="822"/>
      <c r="AD417" s="10"/>
      <c r="AE417" s="10"/>
      <c r="AF417" s="10"/>
      <c r="AG417" s="1740">
        <f>IF($K417=TRUE,MAX(AG415:AG416),0)</f>
        <v>0</v>
      </c>
      <c r="AH417" s="1740">
        <f>IF($R417=TRUE,MAX(AH415:AH416),0)</f>
        <v>8</v>
      </c>
      <c r="AI417" s="1740">
        <f>IF($U417=TRUE,MAX(AI415:AI416),0)</f>
        <v>0</v>
      </c>
      <c r="AJ417" s="1739">
        <f>MAX(AJ415:AJ416)</f>
        <v>0</v>
      </c>
      <c r="AK417" s="1739">
        <f t="shared" ref="AK417" si="848">MAX(AK415:AK416)</f>
        <v>0</v>
      </c>
      <c r="AL417" s="1739">
        <f t="shared" ref="AL417" si="849">MAX(AL415:AL416)</f>
        <v>4</v>
      </c>
      <c r="AM417" s="1739">
        <f t="shared" ref="AM417" si="850">MAX(AM415:AM416)</f>
        <v>20</v>
      </c>
      <c r="AN417" s="1739">
        <f t="shared" ref="AN417" si="851">MAX(AN415:AN416)</f>
        <v>14</v>
      </c>
      <c r="AO417" s="1739">
        <f t="shared" ref="AO417" si="852">MAX(AO415:AO416)</f>
        <v>20</v>
      </c>
      <c r="AY417" s="734"/>
      <c r="AZ417" s="734"/>
      <c r="BA417" s="87"/>
      <c r="BB417" s="442"/>
      <c r="BC417" s="89"/>
      <c r="BD417" s="446"/>
      <c r="BE417" s="446"/>
      <c r="BF417" s="89"/>
      <c r="BG417" s="447"/>
      <c r="BH417" s="447"/>
      <c r="BI417" s="443"/>
    </row>
    <row r="418" spans="1:78" ht="51" x14ac:dyDescent="0.2">
      <c r="A418" t="str">
        <f>IF(Test_Bible!B421="","F","O")</f>
        <v>O</v>
      </c>
      <c r="B418" s="1700" t="str">
        <f>'Cpts AR +indép + Sommaire'!M63</f>
        <v>Interférence temps et/ou communication</v>
      </c>
      <c r="C418" s="38" t="str">
        <f>'Cpts AR +indép + Sommaire'!I63</f>
        <v>NC11</v>
      </c>
      <c r="D418" s="25" t="str">
        <f>'Cpts AR +indép + Sommaire'!J63</f>
        <v xml:space="preserve">Le nouveau ou nouvelle conjoint·e est responsable de la logistique familiale (communications scolaires, rendez-vous médicaux, etc.). </v>
      </c>
      <c r="E418" s="78" t="s">
        <v>658</v>
      </c>
      <c r="F418" s="709">
        <f>'Cpts AR +indép + Sommaire'!K63</f>
        <v>7</v>
      </c>
      <c r="G418" s="709">
        <f>'Cpts AR +indép + Sommaire'!L63</f>
        <v>2</v>
      </c>
      <c r="H418" s="709">
        <f t="shared" ref="H418:H420" si="853">F418*G418</f>
        <v>14</v>
      </c>
      <c r="I418" s="1350">
        <v>7</v>
      </c>
      <c r="J418" s="1343">
        <v>10</v>
      </c>
      <c r="K418" s="31" t="b">
        <f>IF(AND(F418&gt;=I418,F418&lt;=J418),TRUE,FALSE)</f>
        <v>1</v>
      </c>
      <c r="L418" s="31"/>
      <c r="M418" s="31"/>
      <c r="N418" s="31"/>
      <c r="O418" s="1351"/>
      <c r="P418" s="1374">
        <v>11</v>
      </c>
      <c r="Q418" s="1375">
        <v>11</v>
      </c>
      <c r="R418" s="1351" t="b">
        <f>IF(AND(F418&gt;=P418,F418&lt;=Q418),TRUE,FALSE)</f>
        <v>0</v>
      </c>
      <c r="S418" s="1350">
        <v>7</v>
      </c>
      <c r="T418" s="1343">
        <v>10</v>
      </c>
      <c r="U418" s="1351" t="b">
        <f>IF(AND(F418&gt;=S418,F418&lt;=T418),TRUE,FALSE)</f>
        <v>1</v>
      </c>
      <c r="V418" s="807"/>
      <c r="W418" s="821"/>
      <c r="X418" s="822"/>
      <c r="Y418" s="821"/>
      <c r="Z418" s="822"/>
      <c r="AA418" s="821"/>
      <c r="AB418" s="822"/>
      <c r="AD418" s="10"/>
      <c r="AE418" s="10"/>
      <c r="AF418" s="10"/>
      <c r="AG418" s="832">
        <f>IF(K418=TRUE,H418,0)</f>
        <v>14</v>
      </c>
      <c r="AH418" s="832">
        <f>IF(R418=TRUE,H418,0)</f>
        <v>0</v>
      </c>
      <c r="AI418" s="832">
        <f>IF(U418=TRUE,H418,0)</f>
        <v>14</v>
      </c>
      <c r="AJ418" s="1490">
        <f t="shared" ref="AJ418:AJ420" si="854">IF(OR(I418=11,A418="F"),0,G418*I418)</f>
        <v>14</v>
      </c>
      <c r="AK418" s="1490">
        <f t="shared" ref="AK418:AK420" si="855">IF(OR(J418=11,A418="F"),0,G418*J418)</f>
        <v>20</v>
      </c>
      <c r="AL418" s="1490">
        <f t="shared" ref="AL418:AL420" si="856">IF(OR(P418=11,A418="F"),0,G418*P418)</f>
        <v>0</v>
      </c>
      <c r="AM418" s="1490">
        <f t="shared" ref="AM418:AM420" si="857">IF(OR(Q418=11,A418="F"),0,G418*Q418)</f>
        <v>0</v>
      </c>
      <c r="AN418" s="1490">
        <f t="shared" ref="AN418:AN420" si="858">IF(OR(S418=11,A418="F"),0,S418*G418)</f>
        <v>14</v>
      </c>
      <c r="AO418" s="1490">
        <f t="shared" ref="AO418:AO420" si="859">IF(OR(T418=11,A418="F"),0,T418*G418)</f>
        <v>20</v>
      </c>
      <c r="AY418" s="734"/>
      <c r="AZ418" s="734"/>
      <c r="BA418" s="87"/>
      <c r="BB418" s="442"/>
      <c r="BC418" s="89"/>
      <c r="BD418" s="446"/>
      <c r="BE418" s="446"/>
      <c r="BF418" s="89"/>
      <c r="BG418" s="447"/>
      <c r="BH418" s="447"/>
      <c r="BI418" s="443"/>
    </row>
    <row r="419" spans="1:78" ht="34" x14ac:dyDescent="0.2">
      <c r="A419" t="str">
        <f>IF(Test_Bible!B415="","F","O")</f>
        <v>O</v>
      </c>
      <c r="B419" s="1700" t="str">
        <f>'Cpts AR +indép + Sommaire'!M64</f>
        <v>Dénigrement</v>
      </c>
      <c r="C419" s="21" t="str">
        <f>'Cpts AR +indép + Sommaire'!I64</f>
        <v>NC04a1</v>
      </c>
      <c r="D419" s="698" t="str">
        <f>'Cpts AR +indép + Sommaire'!J64</f>
        <v>Arrive-t-il que le nouveau ou nouvelle conjoint·e vous critique ou dénigre vos compétences parentales devant votre enfant ?</v>
      </c>
      <c r="E419" s="78" t="s">
        <v>1833</v>
      </c>
      <c r="F419" s="709">
        <f>'Cpts AR +indép + Sommaire'!K64</f>
        <v>1</v>
      </c>
      <c r="G419" s="709">
        <f>'Cpts AR +indép + Sommaire'!L64</f>
        <v>3</v>
      </c>
      <c r="H419" s="709">
        <f t="shared" si="853"/>
        <v>3</v>
      </c>
      <c r="I419" s="1350">
        <v>4</v>
      </c>
      <c r="J419" s="1343">
        <v>10</v>
      </c>
      <c r="K419" s="31" t="b">
        <f>IF(AND(F419&gt;=I419,F419&lt;=J419),TRUE,FALSE)</f>
        <v>0</v>
      </c>
      <c r="L419" s="31"/>
      <c r="M419" s="31"/>
      <c r="N419" s="31"/>
      <c r="O419" s="1351"/>
      <c r="P419" s="1374">
        <v>11</v>
      </c>
      <c r="Q419" s="1375">
        <v>11</v>
      </c>
      <c r="R419" s="1351" t="b">
        <f>IF(AND(F419&gt;=P419,F419&lt;=Q419),TRUE,FALSE)</f>
        <v>0</v>
      </c>
      <c r="S419" s="1350">
        <v>4</v>
      </c>
      <c r="T419" s="1343">
        <v>10</v>
      </c>
      <c r="U419" s="1351" t="b">
        <f>IF(AND(F419&gt;=S419,F419&lt;=T419),TRUE,FALSE)</f>
        <v>0</v>
      </c>
      <c r="V419" s="807"/>
      <c r="W419" s="821"/>
      <c r="X419" s="822"/>
      <c r="Y419" s="821"/>
      <c r="Z419" s="822"/>
      <c r="AA419" s="821"/>
      <c r="AB419" s="822"/>
      <c r="AD419" s="10"/>
      <c r="AE419" s="10"/>
      <c r="AF419" s="10"/>
      <c r="AG419" s="832">
        <f>IF(K419=TRUE,H419,0)</f>
        <v>0</v>
      </c>
      <c r="AH419" s="832">
        <f>IF(R419=TRUE,H419,0)</f>
        <v>0</v>
      </c>
      <c r="AI419" s="832">
        <f>IF(U419=TRUE,H419,0)</f>
        <v>0</v>
      </c>
      <c r="AJ419" s="1490">
        <f t="shared" si="854"/>
        <v>12</v>
      </c>
      <c r="AK419" s="1490">
        <f t="shared" si="855"/>
        <v>30</v>
      </c>
      <c r="AL419" s="1490">
        <f t="shared" si="856"/>
        <v>0</v>
      </c>
      <c r="AM419" s="1490">
        <f t="shared" si="857"/>
        <v>0</v>
      </c>
      <c r="AN419" s="1490">
        <f t="shared" si="858"/>
        <v>12</v>
      </c>
      <c r="AO419" s="1490">
        <f t="shared" si="859"/>
        <v>30</v>
      </c>
      <c r="AY419" s="734"/>
      <c r="AZ419" s="734"/>
      <c r="BA419" s="87"/>
      <c r="BB419" s="442"/>
      <c r="BC419" s="89"/>
      <c r="BD419" s="446"/>
      <c r="BE419" s="446"/>
      <c r="BF419" s="89"/>
      <c r="BG419" s="447"/>
      <c r="BH419" s="447"/>
      <c r="BI419" s="443"/>
    </row>
    <row r="420" spans="1:78" ht="34" x14ac:dyDescent="0.2">
      <c r="A420" t="str">
        <f>IF(Test_Bible!B414="","F","O")</f>
        <v>O</v>
      </c>
      <c r="B420" s="1700" t="str">
        <f>'Cpts AR +indép + Sommaire'!M65</f>
        <v>Dénigrement</v>
      </c>
      <c r="C420" s="21" t="str">
        <f>'Cpts AR +indép + Sommaire'!I65</f>
        <v>NC04a</v>
      </c>
      <c r="D420" s="698" t="str">
        <f>'Cpts AR +indép + Sommaire'!J65</f>
        <v>Le nouveau ou nouvelle conjoint·e dénigre vos compétences parentales par texto, courriel ou autres?</v>
      </c>
      <c r="E420" s="78" t="s">
        <v>1834</v>
      </c>
      <c r="F420" s="709">
        <f>'Cpts AR +indép + Sommaire'!K65</f>
        <v>4</v>
      </c>
      <c r="G420" s="709">
        <f>'Cpts AR +indép + Sommaire'!L65</f>
        <v>3</v>
      </c>
      <c r="H420" s="709">
        <f t="shared" si="853"/>
        <v>12</v>
      </c>
      <c r="I420" s="1350">
        <v>4</v>
      </c>
      <c r="J420" s="1343">
        <v>10</v>
      </c>
      <c r="K420" s="31" t="b">
        <f>IF(AND(F420&gt;=I420,F420&lt;=J420),TRUE,FALSE)</f>
        <v>1</v>
      </c>
      <c r="L420" s="31"/>
      <c r="M420" s="31"/>
      <c r="N420" s="31"/>
      <c r="O420" s="1351"/>
      <c r="P420" s="1374">
        <v>11</v>
      </c>
      <c r="Q420" s="1375">
        <v>11</v>
      </c>
      <c r="R420" s="1351" t="b">
        <f>IF(AND(F420&gt;=P420,F420&lt;=Q420),TRUE,FALSE)</f>
        <v>0</v>
      </c>
      <c r="S420" s="1350">
        <v>4</v>
      </c>
      <c r="T420" s="1343">
        <v>10</v>
      </c>
      <c r="U420" s="1351" t="b">
        <f>IF(AND(F420&gt;=S420,F420&lt;=T420),TRUE,FALSE)</f>
        <v>1</v>
      </c>
      <c r="V420" s="807"/>
      <c r="W420" s="821"/>
      <c r="X420" s="822"/>
      <c r="Y420" s="821"/>
      <c r="Z420" s="822"/>
      <c r="AA420" s="821"/>
      <c r="AB420" s="822"/>
      <c r="AD420" s="10"/>
      <c r="AE420" s="10"/>
      <c r="AF420" s="10"/>
      <c r="AG420" s="832">
        <f>IF(K420=TRUE,H420,0)</f>
        <v>12</v>
      </c>
      <c r="AH420" s="832">
        <f>IF(R420=TRUE,H420,0)</f>
        <v>0</v>
      </c>
      <c r="AI420" s="832">
        <f>IF(U420=TRUE,H420,0)</f>
        <v>12</v>
      </c>
      <c r="AJ420" s="1490">
        <f t="shared" si="854"/>
        <v>12</v>
      </c>
      <c r="AK420" s="1490">
        <f t="shared" si="855"/>
        <v>30</v>
      </c>
      <c r="AL420" s="1490">
        <f t="shared" si="856"/>
        <v>0</v>
      </c>
      <c r="AM420" s="1490">
        <f t="shared" si="857"/>
        <v>0</v>
      </c>
      <c r="AN420" s="1490">
        <f t="shared" si="858"/>
        <v>12</v>
      </c>
      <c r="AO420" s="1490">
        <f t="shared" si="859"/>
        <v>30</v>
      </c>
      <c r="AV420" s="7"/>
      <c r="AX420" s="7"/>
      <c r="AY420" s="734"/>
      <c r="AZ420" s="734"/>
      <c r="BA420" s="87"/>
      <c r="BB420" s="442"/>
      <c r="BC420" s="89"/>
      <c r="BD420" s="446"/>
      <c r="BE420" s="446"/>
      <c r="BF420" s="89"/>
      <c r="BG420" s="447"/>
      <c r="BH420" s="447"/>
      <c r="BI420" s="443"/>
      <c r="BN420" s="25"/>
      <c r="BP420" s="7"/>
      <c r="BQ420" s="7"/>
      <c r="BR420" s="7"/>
      <c r="BS420" s="7"/>
      <c r="BT420" s="7"/>
      <c r="BU420" s="7"/>
      <c r="BV420" s="7"/>
      <c r="BW420" s="7"/>
      <c r="BX420" s="7"/>
      <c r="BY420" s="7"/>
      <c r="BZ420" s="7"/>
    </row>
    <row r="421" spans="1:78" ht="20" thickBot="1" x14ac:dyDescent="0.25">
      <c r="B421" s="1700"/>
      <c r="C421" s="2167" t="s">
        <v>610</v>
      </c>
      <c r="D421" s="2172"/>
      <c r="E421" s="2172" t="str">
        <f>IF(H421=H417,E417,E420)</f>
        <v>Le nouveau conjoint.e vous dénigre</v>
      </c>
      <c r="F421" s="2168"/>
      <c r="G421" s="2168"/>
      <c r="H421" s="2168">
        <f>IF(AND(K418=TRUE,K419=FALSE,K420=FALSE),H418,IF(AND(K418=FALSE,K419=TRUE,K420=FALSE),H419,IF(AND(K418=FALSE,K419=FALSE,K420=TRUE),H420,MAX(H418:H420))))</f>
        <v>14</v>
      </c>
      <c r="I421" s="2169"/>
      <c r="J421" s="2170"/>
      <c r="K421" s="2171" t="b">
        <f>IF(AND(K417=FALSE,K420=FALSE),FALSE,TRUE)</f>
        <v>1</v>
      </c>
      <c r="L421" s="31"/>
      <c r="M421" s="31"/>
      <c r="N421" s="31"/>
      <c r="O421" s="1351"/>
      <c r="P421" s="1353"/>
      <c r="Q421" s="720"/>
      <c r="R421" s="1366" t="b">
        <f>IF(AND(R418=FALSE,R419=FALSE,R420=FALSE),FALSE,TRUE)</f>
        <v>0</v>
      </c>
      <c r="S421" s="1353"/>
      <c r="T421" s="720"/>
      <c r="U421" s="1366" t="b">
        <f>IF(AND(U418=FALSE,U419=FALSE,U420=FALSE),FALSE,TRUE)</f>
        <v>1</v>
      </c>
      <c r="V421" s="807"/>
      <c r="W421" s="821"/>
      <c r="X421" s="822"/>
      <c r="Y421" s="821"/>
      <c r="Z421" s="822"/>
      <c r="AA421" s="821"/>
      <c r="AB421" s="822"/>
      <c r="AD421" s="10"/>
      <c r="AE421" s="10"/>
      <c r="AF421" s="10"/>
      <c r="AG421" s="1740">
        <f>IF($K421=TRUE,MAX(AG418:AG420),0)</f>
        <v>14</v>
      </c>
      <c r="AH421" s="1740">
        <f>IF($R421=TRUE,MAX(AH418:AH420),0)</f>
        <v>0</v>
      </c>
      <c r="AI421" s="1740">
        <f>IF($U421=TRUE,MAX(AI418:AI420),0)</f>
        <v>14</v>
      </c>
      <c r="AJ421" s="1739">
        <f t="shared" ref="AJ421:AO421" si="860">MAX(AJ418:AJ420)</f>
        <v>14</v>
      </c>
      <c r="AK421" s="1739">
        <f>MAX(AK418:AK420)</f>
        <v>30</v>
      </c>
      <c r="AL421" s="1739">
        <f t="shared" si="860"/>
        <v>0</v>
      </c>
      <c r="AM421" s="1739">
        <f t="shared" si="860"/>
        <v>0</v>
      </c>
      <c r="AN421" s="1739">
        <f>MAX(AN418:AN420)</f>
        <v>14</v>
      </c>
      <c r="AO421" s="1739">
        <f t="shared" si="860"/>
        <v>30</v>
      </c>
      <c r="AV421" s="7"/>
      <c r="AX421" s="7"/>
      <c r="AY421" s="734"/>
      <c r="AZ421" s="734"/>
      <c r="BA421" s="87"/>
      <c r="BB421" s="442"/>
      <c r="BC421" s="89"/>
      <c r="BD421" s="446"/>
      <c r="BE421" s="446"/>
      <c r="BF421" s="89"/>
      <c r="BG421" s="447"/>
      <c r="BH421" s="447"/>
      <c r="BI421" s="443"/>
      <c r="BN421" s="25"/>
      <c r="BP421" s="7"/>
      <c r="BQ421" s="7"/>
      <c r="BR421" s="7"/>
      <c r="BS421" s="7"/>
      <c r="BT421" s="7"/>
      <c r="BU421" s="7"/>
      <c r="BV421" s="7"/>
      <c r="BW421" s="7"/>
      <c r="BX421" s="7"/>
      <c r="BY421" s="7"/>
      <c r="BZ421" s="7"/>
    </row>
    <row r="422" spans="1:78" ht="35" thickBot="1" x14ac:dyDescent="0.25">
      <c r="B422" s="1700"/>
      <c r="C422" s="722" t="s">
        <v>616</v>
      </c>
      <c r="D422" s="723"/>
      <c r="E422" s="723" t="str">
        <f>IF(H422=H417,E417,E421)</f>
        <v>Le nouveau conjoint.e vous dénigre</v>
      </c>
      <c r="F422" s="724"/>
      <c r="G422" s="724"/>
      <c r="H422" s="724">
        <f>IF(AND(K417=TRUE,K421=FALSE),H417,IF(AND(K417=FALSE,K421=TRUE),H421,IF(AND(K417=TRUE,K421=TRUE),H417+H421,MAX(H417,H421))))</f>
        <v>14</v>
      </c>
      <c r="I422" s="1354"/>
      <c r="J422" s="725"/>
      <c r="K422" s="726" t="b">
        <f>IF(AND(K417=FALSE,K421=FALSE),FALSE,TRUE)</f>
        <v>1</v>
      </c>
      <c r="L422" s="1338"/>
      <c r="M422" s="1338"/>
      <c r="N422" s="1338"/>
      <c r="O422" s="1355"/>
      <c r="P422" s="1354"/>
      <c r="Q422" s="725"/>
      <c r="R422" s="726" t="b">
        <f>IF(AND(R417=FALSE,R421=FALSE),FALSE,TRUE)</f>
        <v>1</v>
      </c>
      <c r="S422" s="1354"/>
      <c r="T422" s="725"/>
      <c r="U422" s="726" t="b">
        <f>IF(AND(U417=FALSE,U421=FALSE),FALSE,TRUE)</f>
        <v>1</v>
      </c>
      <c r="V422" s="807"/>
      <c r="W422" s="821" t="str">
        <f>IF(K422=TRUE,"V","F")</f>
        <v>V</v>
      </c>
      <c r="X422" s="822"/>
      <c r="Y422" s="821" t="str">
        <f>IF(R422=TRUE,"V","F")</f>
        <v>V</v>
      </c>
      <c r="Z422" s="822"/>
      <c r="AA422" s="821" t="str">
        <f>IF(U422=TRUE,"V","F")</f>
        <v>V</v>
      </c>
      <c r="AB422" s="822"/>
      <c r="AC422" t="str">
        <f>IF(OR(W422="V",Y422="V"),IF(H421&gt;H417,"Le NC contribue plus que le coparent","Le coparent joue un plus grand rôle que le NC"),"pas de contexte significatif de la part du coparent et NC")</f>
        <v>Le NC contribue plus que le coparent</v>
      </c>
      <c r="AD422" s="10"/>
      <c r="AE422" s="10"/>
      <c r="AF422" s="10"/>
      <c r="AG422" s="591">
        <f>IF(AND($K417=TRUE,$K421=FALSE),AG417,IF(AND($K417=FALSE,$K421=TRUE),AG421,IF(AND($K417=TRUE,$K421=TRUE),AG417+AG421,0)))</f>
        <v>14</v>
      </c>
      <c r="AH422" s="591">
        <f>IF(AND($R417=TRUE,$R421=FALSE),AH417,IF(AND($R417=FALSE,$R421=TRUE),AH421,IF(AND($R417=TRUE,$R421=TRUE),AH417+AH421,0)))</f>
        <v>8</v>
      </c>
      <c r="AI422" s="591">
        <f>IF(AND($U417=TRUE,$U421=FALSE),AI417,IF(AND($U417=FALSE,$U421=TRUE),AI421,IF(AND($U417=TRUE,$U421=TRUE),AI417+AI421,0)))</f>
        <v>14</v>
      </c>
      <c r="AJ422" s="591">
        <f>IF(AND($K417=TRUE,$K421=FALSE),AJ417,IF(AND($K417=FALSE,$K421=TRUE),AJ421,IF(AND($K417=TRUE,$K421=TRUE),AJ417+AJ421,MAX(AJ417,AJ421))))</f>
        <v>14</v>
      </c>
      <c r="AK422" s="591">
        <f>IF(AND($K417=TRUE,$K421=FALSE),AK417,IF(AND($K417=FALSE,$K421=TRUE),AK421,IF(AND($K417=TRUE,$K421=TRUE),AK417+AK421,MAX(AK417,AK421))))</f>
        <v>30</v>
      </c>
      <c r="AL422" s="591">
        <f>IF(AND($R417=TRUE,$R421=FALSE),AL417,IF(AND($R417=FALSE,$R421=TRUE),AL421,IF(AND($R417=TRUE,$R421=TRUE),AL417+AL421,MAX(AL417,AL421))))</f>
        <v>4</v>
      </c>
      <c r="AM422" s="591">
        <f>IF(AND($R417=TRUE,$R421=FALSE),AM417,IF(AND($R417=FALSE,$R421=TRUE),AM421,IF(AND($R417=TRUE,$R421=TRUE),AM417+AM421,MAX(AM417,AM421))))</f>
        <v>20</v>
      </c>
      <c r="AN422" s="591">
        <f>IF(AND($U417=TRUE,$U421=FALSE),AN417,IF(AND($U417=FALSE,$U421=TRUE),AN421,IF(AND($U417=TRUE,$U421=TRUE),AN417+AN421,MAX(AN417,AN421))))</f>
        <v>14</v>
      </c>
      <c r="AO422" s="591">
        <f>IF(AND($U417=TRUE,$U421=FALSE),AO417,IF(AND($U417=FALSE,$U421=TRUE),AO421,IF(AND($U417=TRUE,$U421=TRUE),AO417+AO421,MAX(AO417,AO421))))</f>
        <v>30</v>
      </c>
      <c r="AV422" s="7"/>
      <c r="AX422" s="7"/>
      <c r="AY422" s="734"/>
      <c r="AZ422" s="734"/>
      <c r="BA422" s="87"/>
      <c r="BB422" s="442"/>
      <c r="BC422" s="89"/>
      <c r="BD422" s="446"/>
      <c r="BE422" s="446"/>
      <c r="BF422" s="89"/>
      <c r="BG422" s="447"/>
      <c r="BH422" s="447"/>
      <c r="BI422" s="443"/>
      <c r="BN422" s="25"/>
      <c r="BP422" s="7"/>
      <c r="BQ422" s="7"/>
      <c r="BR422" s="7"/>
      <c r="BS422" s="7"/>
      <c r="BT422" s="7"/>
      <c r="BU422" s="7"/>
      <c r="BV422" s="7"/>
      <c r="BW422" s="7"/>
      <c r="BX422" s="7"/>
      <c r="BY422" s="7"/>
      <c r="BZ422" s="7"/>
    </row>
    <row r="423" spans="1:78" ht="68" x14ac:dyDescent="0.2">
      <c r="A423" t="str">
        <f>IF(Test_Bible!B306="","F","O")</f>
        <v>O</v>
      </c>
      <c r="B423" s="1700" t="str">
        <f>'Cpts AR +indép + Sommaire'!S63</f>
        <v>Parentification</v>
      </c>
      <c r="C423" s="287" t="str">
        <f>'Cpts AR +indép + Sommaire'!O63</f>
        <v>E17</v>
      </c>
      <c r="D423" s="25" t="str">
        <f>'Cpts AR +indép + Sommaire'!P63</f>
        <v xml:space="preserve">Dans quelle mesure diriez-vous que votre enfant a la responsabilité de vous communiquer les informations concernant la logistique familiale (gestion vêtements, lunch, activités, etc.) au retour d'un séjour chez l'autre parent ? </v>
      </c>
      <c r="E423" s="78" t="s">
        <v>659</v>
      </c>
      <c r="F423" s="709">
        <f>'Cpts AR +indép + Sommaire'!Q63</f>
        <v>7</v>
      </c>
      <c r="G423" s="709">
        <f>'Cpts AR +indép + Sommaire'!R63</f>
        <v>1</v>
      </c>
      <c r="H423" s="709">
        <f>F423*G423</f>
        <v>7</v>
      </c>
      <c r="I423" s="1374">
        <v>11</v>
      </c>
      <c r="J423" s="1375">
        <v>11</v>
      </c>
      <c r="K423" s="31" t="b">
        <f>IF(AND(F423&gt;=I423,F423&lt;=J423),TRUE,FALSE)</f>
        <v>0</v>
      </c>
      <c r="L423" s="31"/>
      <c r="M423" s="31"/>
      <c r="N423" s="31"/>
      <c r="O423" s="1351"/>
      <c r="P423" s="1350">
        <v>4</v>
      </c>
      <c r="Q423" s="1343">
        <v>10</v>
      </c>
      <c r="R423" s="1351" t="b">
        <f>IF(AND(F423&gt;=P423,F423&lt;=Q423),TRUE,FALSE)</f>
        <v>1</v>
      </c>
      <c r="S423" s="1350"/>
      <c r="T423" s="1343"/>
      <c r="U423" s="1351"/>
      <c r="V423" s="807"/>
      <c r="W423" s="821" t="s">
        <v>753</v>
      </c>
      <c r="X423" s="822"/>
      <c r="Y423" s="821"/>
      <c r="Z423" s="822"/>
      <c r="AA423" s="821"/>
      <c r="AB423" s="822"/>
      <c r="AD423" s="10"/>
      <c r="AE423" s="10"/>
      <c r="AF423" s="10"/>
      <c r="AG423" s="832">
        <f>IF($K423=TRUE,H423,0)</f>
        <v>0</v>
      </c>
      <c r="AH423" s="832">
        <f>IF($R423=TRUE,H423,0)</f>
        <v>7</v>
      </c>
      <c r="AI423" s="832">
        <f>IF($U423=TRUE,H423,0)</f>
        <v>0</v>
      </c>
      <c r="AJ423" s="1490">
        <f t="shared" ref="AJ423:AJ424" si="861">IF(OR(I423=11,A423="F"),0,G423*I423)</f>
        <v>0</v>
      </c>
      <c r="AK423" s="1490">
        <f t="shared" ref="AK423:AK424" si="862">IF(OR(J423=11,A423="F"),0,G423*J423)</f>
        <v>0</v>
      </c>
      <c r="AL423" s="1490">
        <f t="shared" ref="AL423:AL424" si="863">IF(OR(P423=11,A423="F"),0,G423*P423)</f>
        <v>4</v>
      </c>
      <c r="AM423" s="1490">
        <f t="shared" ref="AM423:AM424" si="864">IF(OR(Q423=11,A423="F"),0,G423*Q423)</f>
        <v>10</v>
      </c>
      <c r="AN423" s="1490">
        <f t="shared" ref="AN423:AN424" si="865">IF(OR(S423=11,A423="F"),0,S423*G423)</f>
        <v>0</v>
      </c>
      <c r="AO423" s="1490">
        <f t="shared" ref="AO423:AO424" si="866">IF(OR(T423=11,A423="F"),0,T423*G423)</f>
        <v>0</v>
      </c>
      <c r="AV423" s="7"/>
      <c r="AX423" s="7"/>
      <c r="AY423" s="734"/>
      <c r="AZ423" s="734"/>
      <c r="BA423" s="87"/>
      <c r="BB423" s="442"/>
      <c r="BC423" s="89"/>
      <c r="BD423" s="446"/>
      <c r="BE423" s="446"/>
      <c r="BF423" s="89"/>
      <c r="BG423" s="447"/>
      <c r="BH423" s="447"/>
      <c r="BI423" s="443"/>
      <c r="BN423" s="25"/>
      <c r="BP423" s="7"/>
      <c r="BQ423" s="7"/>
      <c r="BR423" s="7"/>
      <c r="BS423" s="7"/>
      <c r="BT423" s="7"/>
      <c r="BU423" s="7"/>
      <c r="BV423" s="7"/>
      <c r="BW423" s="7"/>
      <c r="BX423" s="7"/>
      <c r="BY423" s="7"/>
      <c r="BZ423" s="7"/>
    </row>
    <row r="424" spans="1:78" ht="20" thickBot="1" x14ac:dyDescent="0.25">
      <c r="B424" s="1700"/>
      <c r="C424" s="287" t="s">
        <v>272</v>
      </c>
      <c r="D424" s="25"/>
      <c r="E424" s="78"/>
      <c r="F424" s="709"/>
      <c r="G424" s="708"/>
      <c r="H424" s="709">
        <f>F424*G424</f>
        <v>0</v>
      </c>
      <c r="I424" s="1374">
        <v>11</v>
      </c>
      <c r="J424" s="1375">
        <v>11</v>
      </c>
      <c r="K424" s="31" t="b">
        <f>IF(AND(F424&gt;=I424,F424&lt;=J424),TRUE,FALSE)</f>
        <v>0</v>
      </c>
      <c r="L424" s="31"/>
      <c r="M424" s="31"/>
      <c r="N424" s="31"/>
      <c r="O424" s="1351"/>
      <c r="P424" s="1374">
        <v>11</v>
      </c>
      <c r="Q424" s="1375">
        <v>11</v>
      </c>
      <c r="R424" s="1351" t="b">
        <f>IF(AND(F424&gt;=P424,F424&lt;=Q424),TRUE,FALSE)</f>
        <v>0</v>
      </c>
      <c r="S424" s="1374"/>
      <c r="T424" s="1375"/>
      <c r="U424" s="1351"/>
      <c r="V424" s="807"/>
      <c r="W424" s="821"/>
      <c r="X424" s="822"/>
      <c r="Y424" s="821"/>
      <c r="Z424" s="822"/>
      <c r="AA424" s="821"/>
      <c r="AB424" s="822"/>
      <c r="AD424" s="10"/>
      <c r="AE424" s="10"/>
      <c r="AF424" s="10"/>
      <c r="AG424" s="832">
        <f>IF($K424=TRUE,H424,0)</f>
        <v>0</v>
      </c>
      <c r="AH424" s="832">
        <f>IF($R424=TRUE,H424,0)</f>
        <v>0</v>
      </c>
      <c r="AI424" s="832">
        <f>IF($U424=TRUE,H424,0)</f>
        <v>0</v>
      </c>
      <c r="AJ424" s="1490">
        <f t="shared" si="861"/>
        <v>0</v>
      </c>
      <c r="AK424" s="1490">
        <f t="shared" si="862"/>
        <v>0</v>
      </c>
      <c r="AL424" s="1490">
        <f t="shared" si="863"/>
        <v>0</v>
      </c>
      <c r="AM424" s="1490">
        <f t="shared" si="864"/>
        <v>0</v>
      </c>
      <c r="AN424" s="1490">
        <f t="shared" si="865"/>
        <v>0</v>
      </c>
      <c r="AO424" s="1490">
        <f t="shared" si="866"/>
        <v>0</v>
      </c>
      <c r="AV424" s="7"/>
      <c r="AX424" s="7"/>
      <c r="AY424" s="734"/>
      <c r="AZ424" s="734"/>
      <c r="BA424" s="87"/>
      <c r="BB424" s="442"/>
      <c r="BC424" s="89"/>
      <c r="BD424" s="446"/>
      <c r="BE424" s="446"/>
      <c r="BF424" s="89"/>
      <c r="BG424" s="447"/>
      <c r="BH424" s="447"/>
      <c r="BI424" s="443"/>
      <c r="BN424" s="25"/>
      <c r="BP424" s="7"/>
      <c r="BQ424" s="7"/>
      <c r="BR424" s="7"/>
      <c r="BS424" s="7"/>
      <c r="BT424" s="7"/>
      <c r="BU424" s="7"/>
      <c r="BV424" s="7"/>
      <c r="BW424" s="7"/>
      <c r="BX424" s="7"/>
      <c r="BY424" s="7"/>
      <c r="BZ424" s="7"/>
    </row>
    <row r="425" spans="1:78" ht="69" thickBot="1" x14ac:dyDescent="0.25">
      <c r="B425" s="1700"/>
      <c r="C425" s="727" t="s">
        <v>611</v>
      </c>
      <c r="D425" s="728" t="str">
        <f>_xlfn.XLOOKUP(H425,H423:H424,D423:D424)</f>
        <v xml:space="preserve">Dans quelle mesure diriez-vous que votre enfant a la responsabilité de vous communiquer les informations concernant la logistique familiale (gestion vêtements, lunch, activités, etc.) au retour d'un séjour chez l'autre parent ? </v>
      </c>
      <c r="E425" s="728" t="str">
        <f>_xlfn.XLOOKUP(H425,H423:H424,E423:E424)</f>
        <v>a la responsabilité de communiquer les informations concernant la logistique familiale</v>
      </c>
      <c r="F425" s="729"/>
      <c r="G425" s="729"/>
      <c r="H425" s="729">
        <f>IF(AND(K423=TRUE,K424=FALSE),H423,IF(AND(K423=FALSE,K424=TRUE),H424,IF(AND(K423=TRUE,K424=TRUE),H423+H424,MAX(H423,H424))))</f>
        <v>7</v>
      </c>
      <c r="I425" s="1356"/>
      <c r="J425" s="730"/>
      <c r="K425" s="731" t="b">
        <f>IF(AND(K423=FALSE,K424=FALSE),FALSE,TRUE)</f>
        <v>0</v>
      </c>
      <c r="L425" s="1339"/>
      <c r="M425" s="1339"/>
      <c r="N425" s="1339"/>
      <c r="O425" s="1357"/>
      <c r="P425" s="1356"/>
      <c r="Q425" s="730"/>
      <c r="R425" s="731" t="b">
        <f>IF(AND(R423=FALSE,R424=FALSE),FALSE,TRUE)</f>
        <v>1</v>
      </c>
      <c r="S425" s="1356"/>
      <c r="T425" s="730"/>
      <c r="U425" s="731"/>
      <c r="V425" s="807"/>
      <c r="W425" s="821" t="str">
        <f>IF(K425=TRUE,"V","F")</f>
        <v>F</v>
      </c>
      <c r="X425" s="822"/>
      <c r="Y425" s="821" t="str">
        <f>IF(R425=TRUE,"V","F")</f>
        <v>V</v>
      </c>
      <c r="Z425" s="822"/>
      <c r="AA425" s="821"/>
      <c r="AB425" s="822"/>
      <c r="AD425" s="10"/>
      <c r="AE425" s="10"/>
      <c r="AF425" s="10"/>
      <c r="AG425" s="1742">
        <f>IF(AND($K423=TRUE,$K424=FALSE),AG423,IF(AND($K423=FALSE,$K424=TRUE),AG424,IF(AND($K423=TRUE,$K424=TRUE),MAX(AG423,AG424),0)))</f>
        <v>0</v>
      </c>
      <c r="AH425" s="1742">
        <f>IF(AND($R423=TRUE,$R424=FALSE),AH423,IF(AND($R423=FALSE,$R424=TRUE),AH424,IF(AND($R423=TRUE,$R424=TRUE),MAX(AH423,AH424),0)))</f>
        <v>7</v>
      </c>
      <c r="AI425" s="1742"/>
      <c r="AJ425" s="1742">
        <f>IF(AND($K423=TRUE,$K424=FALSE),AJ423,IF(AND($K423=FALSE,$K424=TRUE),AJ424,IF(AND($K423=TRUE,$K424=TRUE),MAX(AJ423,AJ424),0)))</f>
        <v>0</v>
      </c>
      <c r="AK425" s="1742">
        <f>IF(AND($K423=TRUE,$K424=FALSE),AK423,IF(AND($K423=FALSE,$K424=TRUE),AK424,IF(AND($K423=TRUE,$K424=TRUE),MAX(AK423,AK424),0)))</f>
        <v>0</v>
      </c>
      <c r="AL425" s="1742">
        <f t="shared" ref="AL425" si="867">IF(AND($R423=TRUE,$R424=FALSE),AL423,IF(AND($R423=FALSE,$R424=TRUE),AL424,IF(AND($R423=TRUE,$R424=TRUE),MAX(AL423,AL424),0)))</f>
        <v>4</v>
      </c>
      <c r="AM425" s="1742">
        <f t="shared" ref="AM425" si="868">IF(AND($R423=TRUE,$R424=FALSE),AM423,IF(AND($R423=FALSE,$R424=TRUE),AM424,IF(AND($R423=TRUE,$R424=TRUE),MAX(AM423,AM424),0)))</f>
        <v>10</v>
      </c>
      <c r="AN425" s="1742"/>
      <c r="AO425" s="1742"/>
      <c r="AY425" s="734"/>
      <c r="AZ425" s="734"/>
      <c r="BA425" s="87"/>
      <c r="BB425" s="442"/>
      <c r="BC425" s="89"/>
      <c r="BD425" s="446"/>
      <c r="BE425" s="446"/>
      <c r="BF425" s="89"/>
      <c r="BG425" s="447"/>
      <c r="BH425" s="447"/>
      <c r="BI425" s="443"/>
    </row>
    <row r="426" spans="1:78" ht="51" x14ac:dyDescent="0.3">
      <c r="D426" s="386" t="s">
        <v>273</v>
      </c>
      <c r="E426" s="705"/>
      <c r="F426" s="439" t="s">
        <v>349</v>
      </c>
      <c r="G426" s="33"/>
      <c r="H426" s="33">
        <f>IF(AND(K422=TRUE,K425=FALSE),H422,IF(AND(K422=FALSE,K425=TRUE),H425,IF(AND(K422=TRUE,K425=TRUE),H422+H425,MAX(H422,H425))))</f>
        <v>14</v>
      </c>
      <c r="I426" s="1358"/>
      <c r="J426" s="440"/>
      <c r="K426" s="1341"/>
      <c r="L426" s="1342" t="str">
        <f>IF(AND(K425=TRUE,K422=TRUE),E425,"")</f>
        <v/>
      </c>
      <c r="M426" s="1342" t="str">
        <f>IF(AND(K422=TRUE,K425=FALSE),"Bien que le parent "&amp;E422&amp;" l'enfant ne semble pas s'ingérer","")</f>
        <v>Bien que le parent Le nouveau conjoint.e vous dénigre l'enfant ne semble pas s'ingérer</v>
      </c>
      <c r="N426" s="1342" t="str">
        <f>IF(AND(K422=FALSE,K425=TRUE),E425&amp;" sans signe de la participation du parent favorisé et|ou nouveau conjoint.e","")</f>
        <v/>
      </c>
      <c r="O426" s="1359" t="str">
        <f>IF(AND(K422=FALSE,K425=FALSE),"aucun comportement significatif de cette nature","")</f>
        <v/>
      </c>
      <c r="P426" s="1358"/>
      <c r="Q426" s="440"/>
      <c r="R426" s="1367"/>
      <c r="S426" s="1358"/>
      <c r="T426" s="440"/>
      <c r="U426" s="1367"/>
      <c r="V426" s="145"/>
      <c r="W426" s="823"/>
      <c r="X426" s="824">
        <f>IF(AND(W422="V",W425="V"),2,IF(OR(W422="V",W425="V"),1,0))</f>
        <v>1</v>
      </c>
      <c r="Y426" s="823"/>
      <c r="Z426" s="824">
        <f>IF(OR(Y422="V",Y425="V"),1,0)</f>
        <v>1</v>
      </c>
      <c r="AA426" s="823"/>
      <c r="AB426" s="824"/>
      <c r="AD426" s="10"/>
      <c r="AE426" s="10"/>
      <c r="AF426" s="10"/>
      <c r="AG426" s="1738">
        <f>IF(AND($W422="V",$W425="F"),AG422,IF(AND($W422="F",$W425="V"),AG425,IF(AND($W422="V",$W425="V"),AG422+AG425,0)))</f>
        <v>14</v>
      </c>
      <c r="AH426" s="1738">
        <f>IF(AND($Y422="V",$Y425="F"),AH422,IF(AND($Y422="F",$Y425="V"),AH425,IF(AND($Y422="V",$Y425="V"),AH422+AH425,0)))</f>
        <v>15</v>
      </c>
      <c r="AI426" s="1738"/>
      <c r="AJ426" s="1738">
        <f>IF(AND($W422="V",$W425="F"),AJ422,IF(AND($W422="F",$W425="V"),AJ425,IF(AND($W422="V",$W425="V"),AJ422+AJ425,0)))</f>
        <v>14</v>
      </c>
      <c r="AK426" s="1738">
        <f>IF(AND($W422="V",$W425="F"),AK422,IF(AND($W422="F",$W425="V"),AK425,IF(AND($W422="V",$W425="V"),AK422+AK425,0)))</f>
        <v>30</v>
      </c>
      <c r="AL426" s="1738">
        <f>IF(AND($Y422="V",$Y425="F"),AL422,IF(AND($Y422="F",$Y425="V"),AL425,IF(AND($Y422="V",$Y425="V"),AL422+AL425,0)))</f>
        <v>8</v>
      </c>
      <c r="AM426" s="1738">
        <f>IF(AND($Y422="V",$Y425="F"),AM422,IF(AND($Y422="F",$Y425="V"),AM425,IF(AND($Y422="V",$Y425="V"),AM422+AM425,0)))</f>
        <v>30</v>
      </c>
      <c r="AN426" s="1738"/>
      <c r="AO426" s="1738"/>
      <c r="AY426" s="734"/>
      <c r="AZ426" s="734"/>
      <c r="BA426" s="87"/>
      <c r="BB426" s="442"/>
      <c r="BC426" s="89"/>
      <c r="BD426" s="446"/>
      <c r="BE426" s="446"/>
      <c r="BF426" s="89"/>
      <c r="BG426" s="447"/>
      <c r="BH426" s="447"/>
      <c r="BI426" s="443"/>
    </row>
    <row r="427" spans="1:78" ht="19" x14ac:dyDescent="0.2">
      <c r="B427" s="1700"/>
      <c r="C427" t="s">
        <v>238</v>
      </c>
      <c r="I427" s="122"/>
      <c r="L427" s="32"/>
      <c r="M427" s="32"/>
      <c r="N427" s="32"/>
      <c r="O427" s="1379"/>
      <c r="P427" s="122"/>
      <c r="R427" s="292"/>
      <c r="S427" s="122"/>
      <c r="U427" s="292"/>
      <c r="V427" s="32"/>
      <c r="W427" s="821"/>
      <c r="X427" s="822"/>
      <c r="Y427" s="821"/>
      <c r="Z427" s="822"/>
      <c r="AA427" s="821"/>
      <c r="AB427" s="822"/>
      <c r="AD427" s="10"/>
      <c r="AE427" s="10"/>
      <c r="AF427" s="10"/>
      <c r="AG427" s="832"/>
      <c r="AH427" s="832"/>
      <c r="AI427" s="832"/>
      <c r="AJ427" s="1490"/>
      <c r="AK427" s="1490"/>
      <c r="AL427" s="1490"/>
      <c r="AM427" s="1490"/>
      <c r="AN427" s="1490"/>
      <c r="AO427" s="1490"/>
      <c r="AY427" s="734"/>
      <c r="AZ427" s="734"/>
      <c r="BA427" s="87"/>
      <c r="BB427" s="442"/>
      <c r="BC427" s="89"/>
      <c r="BD427" s="446"/>
      <c r="BE427" s="446"/>
      <c r="BF427" s="89"/>
      <c r="BG427" s="447"/>
      <c r="BH427" s="447"/>
      <c r="BI427" s="443"/>
    </row>
    <row r="428" spans="1:78" ht="51" x14ac:dyDescent="0.2">
      <c r="A428" t="str">
        <f>IF(Test_Bible!B149="","F","O")</f>
        <v>O</v>
      </c>
      <c r="B428" s="1700" t="str">
        <f>'Cpts AR +indép + Sommaire'!Y63</f>
        <v>Parentification</v>
      </c>
      <c r="C428" s="825" t="str">
        <f>'Cpts AR +indép + Sommaire'!U63</f>
        <v>PCR13</v>
      </c>
      <c r="D428" s="826" t="str">
        <f>'Cpts AR +indép + Sommaire'!V63</f>
        <v>Le contexte de coparentalité vous contraint à demander à votre enfant de faire les messages et demandes entourant la logistique familiale.</v>
      </c>
      <c r="E428" s="826"/>
      <c r="F428" s="830">
        <f>'Cpts AR +indép + Sommaire'!W63</f>
        <v>7</v>
      </c>
      <c r="G428" s="830">
        <f>'Cpts AR +indép + Sommaire'!X63</f>
        <v>3</v>
      </c>
      <c r="H428" s="830">
        <f>F428*G428</f>
        <v>21</v>
      </c>
      <c r="I428" s="1374">
        <v>11</v>
      </c>
      <c r="J428" s="1375">
        <v>11</v>
      </c>
      <c r="K428" s="31" t="b">
        <f>IF(AND(F428&gt;=I428,F428&lt;=J428),TRUE,FALSE)</f>
        <v>0</v>
      </c>
      <c r="L428" s="26"/>
      <c r="M428" s="26"/>
      <c r="N428" s="26"/>
      <c r="O428" s="1360"/>
      <c r="P428" s="1350">
        <v>2</v>
      </c>
      <c r="Q428" s="1343">
        <v>10</v>
      </c>
      <c r="R428" s="1351" t="b">
        <f>IF(AND(F428&gt;=P428,F428&lt;=Q428),TRUE,FALSE)</f>
        <v>1</v>
      </c>
      <c r="S428" s="1350">
        <v>7</v>
      </c>
      <c r="T428" s="1343">
        <v>10</v>
      </c>
      <c r="U428" s="1351" t="b">
        <f>IF(AND(F428&gt;=S428,F428&lt;=T428),TRUE,FALSE)</f>
        <v>1</v>
      </c>
      <c r="V428" s="32"/>
      <c r="W428" s="821"/>
      <c r="X428" s="822"/>
      <c r="Y428" s="821"/>
      <c r="Z428" s="822"/>
      <c r="AA428" s="821"/>
      <c r="AB428" s="822"/>
      <c r="AD428" s="10"/>
      <c r="AE428" s="10"/>
      <c r="AF428" s="10"/>
      <c r="AG428" s="832">
        <f>IF($K428=TRUE,H428,0)</f>
        <v>0</v>
      </c>
      <c r="AH428" s="832">
        <f>IF($R428=TRUE,H428,0)</f>
        <v>21</v>
      </c>
      <c r="AI428" s="832">
        <f>IF($U428=TRUE,H428,0)</f>
        <v>21</v>
      </c>
      <c r="AJ428" s="1490">
        <f t="shared" ref="AJ428:AJ429" si="869">IF(OR(I428=11,A428="F"),0,G428*I428)</f>
        <v>0</v>
      </c>
      <c r="AK428" s="1490">
        <f t="shared" ref="AK428:AK429" si="870">IF(OR(J428=11,A428="F"),0,G428*J428)</f>
        <v>0</v>
      </c>
      <c r="AL428" s="1490">
        <f t="shared" ref="AL428:AL429" si="871">IF(OR(P428=11,A428="F"),0,G428*P428)</f>
        <v>6</v>
      </c>
      <c r="AM428" s="1490">
        <f t="shared" ref="AM428:AM429" si="872">IF(OR(Q428=11,A428="F"),0,G428*Q428)</f>
        <v>30</v>
      </c>
      <c r="AN428" s="1490">
        <f t="shared" ref="AN428:AN429" si="873">IF(OR(S428=11,A428="F"),0,S428*G428)</f>
        <v>21</v>
      </c>
      <c r="AO428" s="1490">
        <f t="shared" ref="AO428:AO429" si="874">IF(OR(T428=11,A428="F"),0,T428*G428)</f>
        <v>30</v>
      </c>
      <c r="AY428" s="734"/>
      <c r="AZ428" s="734"/>
      <c r="BA428" s="87"/>
      <c r="BB428" s="442"/>
      <c r="BC428" s="89"/>
      <c r="BD428" s="446"/>
      <c r="BE428" s="446"/>
      <c r="BF428" s="89"/>
      <c r="BG428" s="447"/>
      <c r="BH428" s="447"/>
      <c r="BI428" s="443"/>
    </row>
    <row r="429" spans="1:78" ht="20" thickBot="1" x14ac:dyDescent="0.25">
      <c r="B429" s="1700"/>
      <c r="C429" s="825"/>
      <c r="D429" s="829"/>
      <c r="E429" s="826"/>
      <c r="F429" s="830"/>
      <c r="G429" s="830"/>
      <c r="H429" s="830">
        <f>F429*G429</f>
        <v>0</v>
      </c>
      <c r="I429" s="1374">
        <v>11</v>
      </c>
      <c r="J429" s="1375">
        <v>11</v>
      </c>
      <c r="K429" s="31" t="b">
        <f>IF(AND(F429&gt;=I429,F429&lt;=J429),TRUE,FALSE)</f>
        <v>0</v>
      </c>
      <c r="L429" s="26"/>
      <c r="M429" s="26"/>
      <c r="N429" s="26"/>
      <c r="O429" s="1360"/>
      <c r="P429" s="1374">
        <v>11</v>
      </c>
      <c r="Q429" s="1375">
        <v>11</v>
      </c>
      <c r="R429" s="1351" t="b">
        <f>IF(AND(F429&gt;=P429,F429&lt;=Q429),TRUE,FALSE)</f>
        <v>0</v>
      </c>
      <c r="S429" s="1374">
        <v>11</v>
      </c>
      <c r="T429" s="1375">
        <v>11</v>
      </c>
      <c r="U429" s="1351" t="b">
        <f>IF(AND(F429&gt;=S429,F429&lt;=T429),TRUE,FALSE)</f>
        <v>0</v>
      </c>
      <c r="W429" s="821"/>
      <c r="X429" s="822"/>
      <c r="Y429" s="821"/>
      <c r="Z429" s="822"/>
      <c r="AA429" s="821"/>
      <c r="AB429" s="822"/>
      <c r="AD429" s="10"/>
      <c r="AE429" s="10"/>
      <c r="AF429" s="10"/>
      <c r="AG429" s="832">
        <f>IF($K429=TRUE,H429,0)</f>
        <v>0</v>
      </c>
      <c r="AH429" s="832">
        <f>IF($R429=TRUE,H429,0)</f>
        <v>0</v>
      </c>
      <c r="AI429" s="832">
        <f>IF($U429=TRUE,H429,0)</f>
        <v>0</v>
      </c>
      <c r="AJ429" s="1490">
        <f t="shared" si="869"/>
        <v>0</v>
      </c>
      <c r="AK429" s="1490">
        <f t="shared" si="870"/>
        <v>0</v>
      </c>
      <c r="AL429" s="1490">
        <f t="shared" si="871"/>
        <v>0</v>
      </c>
      <c r="AM429" s="1490">
        <f t="shared" si="872"/>
        <v>0</v>
      </c>
      <c r="AN429" s="1490">
        <f t="shared" si="873"/>
        <v>0</v>
      </c>
      <c r="AO429" s="1490">
        <f t="shared" si="874"/>
        <v>0</v>
      </c>
      <c r="AY429" s="734"/>
      <c r="AZ429" s="734"/>
      <c r="BA429" s="87"/>
      <c r="BB429" s="442"/>
      <c r="BC429" s="89"/>
      <c r="BD429" s="446"/>
      <c r="BE429" s="446"/>
      <c r="BF429" s="89"/>
      <c r="BG429" s="447"/>
      <c r="BH429" s="447"/>
      <c r="BI429" s="443"/>
    </row>
    <row r="430" spans="1:78" ht="27" thickBot="1" x14ac:dyDescent="0.35">
      <c r="D430" s="16"/>
      <c r="E430" s="16"/>
      <c r="F430" s="67"/>
      <c r="G430" s="438"/>
      <c r="H430" s="33">
        <f>IF(AND(K428=TRUE,K429=FALSE),H428,IF(AND(K428=FALSE,K429=TRUE),H429,IF(AND(K428=TRUE,K429=TRUE),H428+H429,MAX(H428,H429))))</f>
        <v>21</v>
      </c>
      <c r="I430" s="1371"/>
      <c r="J430" s="1372"/>
      <c r="K430" s="1378" t="b">
        <f>IF(AND(K428=FALSE,K429=FALSE),FALSE,TRUE)</f>
        <v>0</v>
      </c>
      <c r="L430" s="1361"/>
      <c r="M430" s="1362"/>
      <c r="N430" s="1362"/>
      <c r="O430" s="1363"/>
      <c r="P430" s="1371"/>
      <c r="Q430" s="1372"/>
      <c r="R430" s="1378" t="b">
        <f>IF(AND(R428=FALSE,R429=FALSE),FALSE,TRUE)</f>
        <v>1</v>
      </c>
      <c r="S430" s="1383"/>
      <c r="T430" s="1384"/>
      <c r="U430" s="1385" t="b">
        <f>IF(AND(U428=FALSE,U429=FALSE),FALSE,TRUE)</f>
        <v>1</v>
      </c>
      <c r="V430" s="809"/>
      <c r="W430" s="1315" t="str">
        <f>IF(K430=TRUE,"V","F")</f>
        <v>F</v>
      </c>
      <c r="X430" s="1316"/>
      <c r="Y430" s="1315" t="str">
        <f>IF(R430=TRUE,"V","F")</f>
        <v>V</v>
      </c>
      <c r="Z430" s="1316"/>
      <c r="AA430" s="1315" t="str">
        <f>IF(U430=TRUE,"V","F")</f>
        <v>V</v>
      </c>
      <c r="AB430" s="1316"/>
      <c r="AD430" s="10"/>
      <c r="AE430" s="10"/>
      <c r="AF430" s="10"/>
      <c r="AG430" s="1742">
        <f>IF(AND($K428=TRUE,$K429=FALSE),AG428,IF(AND($K428=FALSE,$K429=TRUE),AG429,MAX(AG428,AG429)))</f>
        <v>0</v>
      </c>
      <c r="AH430" s="1742">
        <f>IF(AND($R428=TRUE,$R429=FALSE),AH428,IF(AND($R428=FALSE,$R429=TRUE),AH429,MAX(AH428,AH429)))</f>
        <v>21</v>
      </c>
      <c r="AI430" s="1742">
        <f>IF(AND($U428=TRUE,$U429=FALSE),AI428,IF(AND($U428=FALSE,$U429=TRUE),AI429,MAX(AI428,AI429)))</f>
        <v>21</v>
      </c>
      <c r="AJ430" s="1742">
        <f>IF(AND($K428=TRUE,$K429=FALSE),AJ428,IF(AND($K428=FALSE,$K429=TRUE),AJ429,MAX(AJ428,AJ429)))</f>
        <v>0</v>
      </c>
      <c r="AK430" s="1742">
        <f>IF(AND($K428=TRUE,$K429=FALSE),AK428,IF(AND($K428=FALSE,$K429=TRUE),AK429,MAX(AK428,AK429)))</f>
        <v>0</v>
      </c>
      <c r="AL430" s="1742">
        <f>IF(AND($R428=TRUE,$R429=FALSE),AL428,IF(AND($R428=FALSE,$R429=TRUE),AL429,MAX(AL428,AL429)))</f>
        <v>6</v>
      </c>
      <c r="AM430" s="1742">
        <f>IF(AND($R428=TRUE,$R429=FALSE),AM428,IF(AND($R428=FALSE,$R429=TRUE),AM429,MAX(AM428,AM429)))</f>
        <v>30</v>
      </c>
      <c r="AN430" s="1742">
        <f>IF(AND($U428=TRUE,$U429=FALSE),AN428,IF(AND($U428=FALSE,$U429=TRUE),AN429,MAX(AN428,AN429)))</f>
        <v>21</v>
      </c>
      <c r="AO430" s="1742">
        <f>IF(AND($U428=TRUE,$U429=FALSE),AO428,IF(AND($U428=FALSE,$U429=TRUE),AO429,MAX(AO428,AO429)))</f>
        <v>30</v>
      </c>
      <c r="AY430" s="734"/>
      <c r="AZ430" s="734"/>
      <c r="BA430" s="87"/>
      <c r="BB430" s="442"/>
      <c r="BC430" s="89"/>
      <c r="BD430" s="446"/>
      <c r="BE430" s="446"/>
      <c r="BF430" s="89"/>
      <c r="BG430" s="447"/>
      <c r="BH430" s="447"/>
      <c r="BI430" s="443"/>
    </row>
    <row r="431" spans="1:78" ht="27" thickBot="1" x14ac:dyDescent="0.35">
      <c r="D431" s="16"/>
      <c r="E431" s="16"/>
      <c r="F431" s="67"/>
      <c r="G431" s="438"/>
      <c r="H431" s="438"/>
      <c r="I431" s="8"/>
      <c r="J431" s="8"/>
      <c r="K431" s="808"/>
      <c r="L431" s="809"/>
      <c r="M431" s="809"/>
      <c r="N431" s="809"/>
      <c r="O431" s="809"/>
      <c r="P431" s="809"/>
      <c r="Q431" s="809"/>
      <c r="R431" s="809"/>
      <c r="S431" s="809"/>
      <c r="T431" s="809"/>
      <c r="U431" s="809"/>
      <c r="V431" s="809"/>
      <c r="W431" s="1376"/>
      <c r="X431" s="1377">
        <f>IF(AND(W430="V",W422="V"),X426-1,X426)</f>
        <v>1</v>
      </c>
      <c r="Y431" s="1376"/>
      <c r="Z431" s="1377">
        <f>IF(OR(Y422="V",Y425="V",Y430="V"),1,0)</f>
        <v>1</v>
      </c>
      <c r="AA431" s="1376"/>
      <c r="AB431" s="1377">
        <f>IF(AA422="V",1,IF(AA430="V",1,0))</f>
        <v>1</v>
      </c>
      <c r="AD431" s="10">
        <f>X431</f>
        <v>1</v>
      </c>
      <c r="AE431" s="10">
        <f>Z431</f>
        <v>1</v>
      </c>
      <c r="AF431" s="10">
        <f>AB431</f>
        <v>1</v>
      </c>
      <c r="AG431" s="1741">
        <f>IF($W430="F",AG426,AG426+AG430)</f>
        <v>14</v>
      </c>
      <c r="AH431" s="1741">
        <f>IF($Y430="F",AH426,AH426+AH430)</f>
        <v>36</v>
      </c>
      <c r="AI431" s="1741">
        <f>IF(AND($AA422="V",$AA430="F"),AI422,IF(AND($AA422="F",$AA430="V"),AI430,IF(AND($AA422="V",$AA430="V"),AI422+AI430,0)))</f>
        <v>35</v>
      </c>
      <c r="AJ431" s="1741">
        <f>IF($W430="F",AJ426,AJ426+AJ430)</f>
        <v>14</v>
      </c>
      <c r="AK431" s="1741">
        <f>IF($W430="F",AK426,AK426+AK430)</f>
        <v>30</v>
      </c>
      <c r="AL431" s="1741">
        <f>IF($Y430="F",AL426,AL426+AL430)</f>
        <v>14</v>
      </c>
      <c r="AM431" s="1741">
        <f>IF($Y430="F",AM426,AM426+AM430)</f>
        <v>60</v>
      </c>
      <c r="AN431" s="1741">
        <f>IF(AND($AA422="V",$AA430="F"),AN421,IF(AND($AA422="F",$AA430="V"),AN430,IF(AND($AA422="V",$AA430="V"),AN421+AN430,0)))</f>
        <v>35</v>
      </c>
      <c r="AO431" s="1741">
        <f>IF(AND($AA422="V",$AA430="F"),AO421,IF(AND($AA422="F",$AA430="V"),AO430,IF(AND($AA422="V",$AA430="V"),AO421+AO430,0)))</f>
        <v>60</v>
      </c>
      <c r="AY431" s="734"/>
      <c r="AZ431" s="734"/>
      <c r="BA431" s="87"/>
      <c r="BB431" s="442"/>
      <c r="BC431" s="89"/>
      <c r="BD431" s="446"/>
      <c r="BE431" s="446"/>
      <c r="BF431" s="89"/>
      <c r="BG431" s="447"/>
      <c r="BH431" s="447"/>
      <c r="BI431" s="443"/>
    </row>
    <row r="432" spans="1:78" x14ac:dyDescent="0.3">
      <c r="D432" s="16"/>
      <c r="E432" s="16"/>
      <c r="F432" s="67"/>
      <c r="G432" s="438"/>
      <c r="H432" s="438"/>
      <c r="I432" s="1344"/>
      <c r="J432" s="1345"/>
      <c r="K432" s="1346"/>
      <c r="L432" s="2603"/>
      <c r="M432" s="2603"/>
      <c r="N432" s="2603"/>
      <c r="O432" s="1347"/>
      <c r="P432" s="1364"/>
      <c r="Q432" s="1346"/>
      <c r="R432" s="1347"/>
      <c r="S432" s="1364"/>
      <c r="T432" s="1346"/>
      <c r="U432" s="1347"/>
      <c r="V432" s="145"/>
      <c r="W432" s="1387"/>
      <c r="X432" s="1388"/>
      <c r="Y432" s="1231"/>
      <c r="Z432" s="1231"/>
      <c r="AA432" s="1231"/>
      <c r="AB432" s="1231"/>
      <c r="AD432" s="10"/>
      <c r="AE432" s="10"/>
      <c r="AF432" s="10"/>
      <c r="AY432" s="734"/>
      <c r="AZ432" s="734"/>
      <c r="BA432" s="87"/>
      <c r="BB432" s="442"/>
      <c r="BC432" s="89"/>
      <c r="BD432" s="446"/>
      <c r="BE432" s="446"/>
      <c r="BF432" s="89"/>
      <c r="BG432" s="447"/>
      <c r="BH432" s="447"/>
      <c r="BI432" s="443"/>
    </row>
    <row r="433" spans="1:78" x14ac:dyDescent="0.3">
      <c r="B433" s="1699">
        <v>21</v>
      </c>
      <c r="D433" s="441" t="str">
        <f>'Cpts AR +indép + Sommaire'!B67</f>
        <v>Liberté du choix de l'enfant</v>
      </c>
      <c r="E433" s="84"/>
      <c r="F433" s="50"/>
      <c r="G433" s="18"/>
      <c r="H433" s="18"/>
      <c r="I433" s="2595" t="s">
        <v>604</v>
      </c>
      <c r="J433" s="2596"/>
      <c r="K433" s="2596"/>
      <c r="L433" s="2597" t="s">
        <v>1086</v>
      </c>
      <c r="M433" s="2597"/>
      <c r="N433" s="2597"/>
      <c r="O433" s="2598"/>
      <c r="P433" s="2599" t="s">
        <v>603</v>
      </c>
      <c r="Q433" s="2600"/>
      <c r="R433" s="2601"/>
      <c r="S433" s="2590" t="s">
        <v>605</v>
      </c>
      <c r="T433" s="2591"/>
      <c r="U433" s="2592"/>
      <c r="V433" s="15"/>
      <c r="W433" s="817"/>
      <c r="X433" s="817"/>
      <c r="Y433" s="817"/>
      <c r="Z433" s="817"/>
      <c r="AA433" s="817"/>
      <c r="AB433" s="818"/>
      <c r="AD433" s="10"/>
      <c r="AE433" s="10"/>
      <c r="AF433" s="10"/>
      <c r="AG433" s="1386" t="s">
        <v>604</v>
      </c>
      <c r="AH433" s="1386" t="s">
        <v>603</v>
      </c>
      <c r="AI433" s="1386" t="s">
        <v>605</v>
      </c>
      <c r="AJ433" s="2589" t="s">
        <v>604</v>
      </c>
      <c r="AK433" s="2589"/>
      <c r="AL433" s="2589" t="s">
        <v>603</v>
      </c>
      <c r="AM433" s="2589"/>
      <c r="AN433" s="2589" t="s">
        <v>605</v>
      </c>
      <c r="AO433" s="2589"/>
      <c r="AY433" s="734"/>
      <c r="AZ433" s="734"/>
      <c r="BA433" s="87"/>
      <c r="BB433" s="442"/>
      <c r="BC433" s="89"/>
      <c r="BD433" s="446"/>
      <c r="BE433" s="446"/>
      <c r="BF433" s="89"/>
      <c r="BG433" s="447"/>
      <c r="BH433" s="447"/>
      <c r="BI433" s="443"/>
    </row>
    <row r="434" spans="1:78" ht="34" x14ac:dyDescent="0.2">
      <c r="B434" s="1700"/>
      <c r="D434" s="79" t="s">
        <v>779</v>
      </c>
      <c r="E434" s="835" t="s">
        <v>778</v>
      </c>
      <c r="F434" s="26" t="s">
        <v>226</v>
      </c>
      <c r="G434" s="26" t="s">
        <v>22</v>
      </c>
      <c r="H434" s="26" t="s">
        <v>612</v>
      </c>
      <c r="I434" s="1348" t="s">
        <v>269</v>
      </c>
      <c r="J434" s="29" t="s">
        <v>270</v>
      </c>
      <c r="K434" s="29" t="s">
        <v>271</v>
      </c>
      <c r="L434" s="29" t="s">
        <v>363</v>
      </c>
      <c r="M434" s="29" t="s">
        <v>339</v>
      </c>
      <c r="N434" s="29" t="s">
        <v>340</v>
      </c>
      <c r="O434" s="1349" t="s">
        <v>341</v>
      </c>
      <c r="P434" s="1348" t="s">
        <v>269</v>
      </c>
      <c r="Q434" s="29" t="s">
        <v>270</v>
      </c>
      <c r="R434" s="1349" t="s">
        <v>271</v>
      </c>
      <c r="S434" s="1348" t="s">
        <v>269</v>
      </c>
      <c r="T434" s="29" t="s">
        <v>270</v>
      </c>
      <c r="U434" s="1349" t="s">
        <v>271</v>
      </c>
      <c r="V434" s="736"/>
      <c r="W434" s="827" t="s">
        <v>604</v>
      </c>
      <c r="X434" s="828" t="s">
        <v>754</v>
      </c>
      <c r="Y434" s="827" t="s">
        <v>603</v>
      </c>
      <c r="Z434" s="828" t="s">
        <v>755</v>
      </c>
      <c r="AA434" s="827" t="s">
        <v>605</v>
      </c>
      <c r="AB434" s="828" t="s">
        <v>756</v>
      </c>
      <c r="AD434" s="10"/>
      <c r="AE434" s="10"/>
      <c r="AF434" s="10"/>
      <c r="AG434" s="10"/>
      <c r="AH434" s="10"/>
      <c r="AI434" s="10"/>
      <c r="AJ434" s="1490" t="s">
        <v>1058</v>
      </c>
      <c r="AK434" s="1490" t="s">
        <v>1059</v>
      </c>
      <c r="AL434" s="1490" t="s">
        <v>1058</v>
      </c>
      <c r="AM434" s="1490" t="s">
        <v>1059</v>
      </c>
      <c r="AN434" s="1490" t="s">
        <v>1058</v>
      </c>
      <c r="AO434" s="1490" t="s">
        <v>1059</v>
      </c>
      <c r="AY434" s="734"/>
      <c r="AZ434" s="734"/>
      <c r="BA434" s="87"/>
      <c r="BB434" s="442"/>
      <c r="BC434" s="89"/>
      <c r="BD434" s="446"/>
      <c r="BE434" s="446"/>
      <c r="BF434" s="89"/>
      <c r="BG434" s="447"/>
      <c r="BH434" s="447"/>
      <c r="BI434" s="443"/>
    </row>
    <row r="435" spans="1:78" ht="34" x14ac:dyDescent="0.2">
      <c r="A435" t="str">
        <f>IF(Test_Bible!B249="","F","O")</f>
        <v>F</v>
      </c>
      <c r="B435" s="1700" t="str">
        <f>'Cpts AR +indép + Sommaire'!G67</f>
        <v>Rôle actif de l'enfant</v>
      </c>
      <c r="C435" s="379" t="str">
        <f>'Cpts AR +indép + Sommaire'!C67</f>
        <v>PFA35</v>
      </c>
      <c r="D435" s="25" t="str">
        <f>'Cpts AR +indép + Sommaire'!D67</f>
        <v>L’autre parent laisse à votre enfant le droit de respecter ou non l'entente de garde et votre temps (tour) de garde.</v>
      </c>
      <c r="E435" s="78" t="s">
        <v>660</v>
      </c>
      <c r="F435" s="709">
        <f>'Cpts AR +indép + Sommaire'!E67</f>
        <v>0</v>
      </c>
      <c r="G435" s="709">
        <f>'Cpts AR +indép + Sommaire'!F67</f>
        <v>3</v>
      </c>
      <c r="H435" s="709">
        <f>F435*G435</f>
        <v>0</v>
      </c>
      <c r="I435" s="1350">
        <v>4</v>
      </c>
      <c r="J435" s="1343">
        <v>10</v>
      </c>
      <c r="K435" s="31" t="b">
        <f>IF(AND(F435&gt;=I435,F435&lt;=J435),TRUE,FALSE)</f>
        <v>0</v>
      </c>
      <c r="L435" s="31"/>
      <c r="M435" s="31"/>
      <c r="N435" s="31"/>
      <c r="O435" s="1351"/>
      <c r="P435" s="1350">
        <v>2</v>
      </c>
      <c r="Q435" s="1343">
        <v>7</v>
      </c>
      <c r="R435" s="1351" t="b">
        <f>IF(AND(F435&gt;=P435,F435&lt;=Q435),TRUE,FALSE)</f>
        <v>0</v>
      </c>
      <c r="S435" s="1350">
        <v>4</v>
      </c>
      <c r="T435" s="1343">
        <v>7</v>
      </c>
      <c r="U435" s="1351" t="b">
        <f>IF(AND(F435&gt;=S435,F435&lt;=T435),TRUE,FALSE)</f>
        <v>0</v>
      </c>
      <c r="V435" s="807"/>
      <c r="W435" s="819"/>
      <c r="X435" s="820"/>
      <c r="Y435" s="819"/>
      <c r="Z435" s="820"/>
      <c r="AA435" s="819"/>
      <c r="AB435" s="820"/>
      <c r="AD435" s="10"/>
      <c r="AE435" s="10"/>
      <c r="AF435" s="10"/>
      <c r="AG435" s="832">
        <f>IF($K435=TRUE,H435,0)</f>
        <v>0</v>
      </c>
      <c r="AH435" s="832">
        <f>IF($R435=TRUE,H435,0)</f>
        <v>0</v>
      </c>
      <c r="AI435" s="832">
        <f>IF($U435=TRUE,H435,0)</f>
        <v>0</v>
      </c>
      <c r="AJ435" s="1490">
        <f t="shared" ref="AJ435:AJ436" si="875">IF(OR(I435=11,A435="F"),0,G435*I435)</f>
        <v>0</v>
      </c>
      <c r="AK435" s="1490">
        <f t="shared" ref="AK435:AK436" si="876">IF(OR(J435=11,A435="F"),0,G435*J435)</f>
        <v>0</v>
      </c>
      <c r="AL435" s="1490">
        <f t="shared" ref="AL435:AL436" si="877">IF(OR(P435=11,A435="F"),0,G435*P435)</f>
        <v>0</v>
      </c>
      <c r="AM435" s="1490">
        <f t="shared" ref="AM435:AM436" si="878">IF(OR(Q435=11,A435="F"),0,G435*Q435)</f>
        <v>0</v>
      </c>
      <c r="AN435" s="1490">
        <f t="shared" ref="AN435:AN436" si="879">IF(OR(S435=11,A435="F"),0,S435*G435)</f>
        <v>0</v>
      </c>
      <c r="AO435" s="1490">
        <f t="shared" ref="AO435:AO436" si="880">IF(OR(T435=11,A435="F"),0,T435*G435)</f>
        <v>0</v>
      </c>
      <c r="AY435" s="734"/>
      <c r="AZ435" s="734"/>
      <c r="BA435" s="87"/>
      <c r="BB435" s="442"/>
      <c r="BC435" s="89"/>
      <c r="BD435" s="446"/>
      <c r="BE435" s="446"/>
      <c r="BF435" s="89"/>
      <c r="BG435" s="447"/>
      <c r="BH435" s="447"/>
      <c r="BI435" s="443"/>
    </row>
    <row r="436" spans="1:78" ht="19" x14ac:dyDescent="0.2">
      <c r="B436" s="1700"/>
      <c r="C436" s="379" t="s">
        <v>260</v>
      </c>
      <c r="D436" s="25"/>
      <c r="E436" s="78"/>
      <c r="F436" s="709"/>
      <c r="G436" s="708"/>
      <c r="H436" s="709">
        <f>F436*G436</f>
        <v>0</v>
      </c>
      <c r="I436" s="1374">
        <v>11</v>
      </c>
      <c r="J436" s="1375">
        <v>11</v>
      </c>
      <c r="K436" s="31" t="b">
        <f>IF(AND(F436&gt;=I436,F436&lt;=J436),TRUE,FALSE)</f>
        <v>0</v>
      </c>
      <c r="L436" s="31"/>
      <c r="M436" s="31"/>
      <c r="N436" s="31"/>
      <c r="O436" s="1351"/>
      <c r="P436" s="1374">
        <v>11</v>
      </c>
      <c r="Q436" s="1375">
        <v>11</v>
      </c>
      <c r="R436" s="1351" t="b">
        <f>IF(AND(F436&gt;=P436,F436&lt;=Q436),TRUE,FALSE)</f>
        <v>0</v>
      </c>
      <c r="S436" s="1374">
        <v>11</v>
      </c>
      <c r="T436" s="1375">
        <v>11</v>
      </c>
      <c r="U436" s="1351" t="b">
        <f>IF(AND(F436&gt;=S436,F436&lt;=T436),TRUE,FALSE)</f>
        <v>0</v>
      </c>
      <c r="V436" s="807"/>
      <c r="W436" s="821"/>
      <c r="X436" s="822"/>
      <c r="Y436" s="821"/>
      <c r="Z436" s="822"/>
      <c r="AA436" s="821"/>
      <c r="AB436" s="822"/>
      <c r="AD436" s="10"/>
      <c r="AE436" s="10"/>
      <c r="AF436" s="10"/>
      <c r="AG436" s="832">
        <f>IF($K436=TRUE,H436,0)</f>
        <v>0</v>
      </c>
      <c r="AH436" s="832">
        <f>IF($R436=TRUE,H436,0)</f>
        <v>0</v>
      </c>
      <c r="AI436" s="832">
        <f>IF($U436=TRUE,H436,0)</f>
        <v>0</v>
      </c>
      <c r="AJ436" s="1490">
        <f t="shared" si="875"/>
        <v>0</v>
      </c>
      <c r="AK436" s="1490">
        <f t="shared" si="876"/>
        <v>0</v>
      </c>
      <c r="AL436" s="1490">
        <f t="shared" si="877"/>
        <v>0</v>
      </c>
      <c r="AM436" s="1490">
        <f t="shared" si="878"/>
        <v>0</v>
      </c>
      <c r="AN436" s="1490">
        <f t="shared" si="879"/>
        <v>0</v>
      </c>
      <c r="AO436" s="1490">
        <f t="shared" si="880"/>
        <v>0</v>
      </c>
      <c r="AY436" s="734"/>
      <c r="AZ436" s="734"/>
      <c r="BA436" s="87"/>
      <c r="BB436" s="442"/>
      <c r="BC436" s="89"/>
      <c r="BD436" s="446"/>
      <c r="BE436" s="446"/>
      <c r="BF436" s="89"/>
      <c r="BG436" s="447"/>
      <c r="BH436" s="447"/>
      <c r="BI436" s="443"/>
    </row>
    <row r="437" spans="1:78" ht="34" x14ac:dyDescent="0.2">
      <c r="B437" s="1700"/>
      <c r="C437" s="710" t="s">
        <v>609</v>
      </c>
      <c r="D437" s="711" t="str">
        <f>_xlfn.XLOOKUP(H437,H435:H436,D435:D436)</f>
        <v>L’autre parent laisse à votre enfant le droit de respecter ou non l'entente de garde et votre temps (tour) de garde.</v>
      </c>
      <c r="E437" s="712" t="str">
        <f>_xlfn.XLOOKUP(H437,H435:H436,E435:E436)</f>
        <v>a le droit de choisir de respecter ou non l'entente de garde</v>
      </c>
      <c r="F437" s="713"/>
      <c r="G437" s="713"/>
      <c r="H437" s="713">
        <f>IF(AND(K435=TRUE,K436=FALSE),H435,IF(AND(K435=FALSE,K436=TRUE),H436,MAX(H435,H436)))</f>
        <v>0</v>
      </c>
      <c r="I437" s="1352"/>
      <c r="J437" s="714"/>
      <c r="K437" s="715" t="b">
        <f>IF(AND(K435=FALSE,K436=FALSE),FALSE,TRUE)</f>
        <v>0</v>
      </c>
      <c r="L437" s="31"/>
      <c r="M437" s="31"/>
      <c r="N437" s="31"/>
      <c r="O437" s="1351"/>
      <c r="P437" s="1352"/>
      <c r="Q437" s="714"/>
      <c r="R437" s="1365" t="b">
        <f>IF(AND(R435=FALSE,R436=FALSE),FALSE,TRUE)</f>
        <v>0</v>
      </c>
      <c r="S437" s="1352"/>
      <c r="T437" s="714"/>
      <c r="U437" s="1365" t="b">
        <f>IF(AND(U435=FALSE,U436=FALSE),FALSE,TRUE)</f>
        <v>0</v>
      </c>
      <c r="V437" s="807"/>
      <c r="W437" s="821"/>
      <c r="X437" s="822"/>
      <c r="Y437" s="821"/>
      <c r="Z437" s="822"/>
      <c r="AA437" s="821"/>
      <c r="AB437" s="822"/>
      <c r="AD437" s="10"/>
      <c r="AE437" s="10"/>
      <c r="AF437" s="10"/>
      <c r="AG437" s="1740">
        <f>IF($K437=TRUE,MAX(AG435:AG436),0)</f>
        <v>0</v>
      </c>
      <c r="AH437" s="1740">
        <f>IF($R437=TRUE,MAX(AH435:AH436),0)</f>
        <v>0</v>
      </c>
      <c r="AI437" s="1740">
        <f>IF($U437=TRUE,MAX(AI435:AI436),0)</f>
        <v>0</v>
      </c>
      <c r="AJ437" s="1739">
        <f>MAX(AJ435:AJ436)</f>
        <v>0</v>
      </c>
      <c r="AK437" s="1739">
        <f t="shared" ref="AK437" si="881">MAX(AK435:AK436)</f>
        <v>0</v>
      </c>
      <c r="AL437" s="1739">
        <f t="shared" ref="AL437" si="882">MAX(AL435:AL436)</f>
        <v>0</v>
      </c>
      <c r="AM437" s="1739">
        <f t="shared" ref="AM437" si="883">MAX(AM435:AM436)</f>
        <v>0</v>
      </c>
      <c r="AN437" s="1739">
        <f t="shared" ref="AN437" si="884">MAX(AN435:AN436)</f>
        <v>0</v>
      </c>
      <c r="AO437" s="1739">
        <f t="shared" ref="AO437" si="885">MAX(AO435:AO436)</f>
        <v>0</v>
      </c>
      <c r="AY437" s="734"/>
      <c r="AZ437" s="734"/>
      <c r="BA437" s="87"/>
      <c r="BB437" s="442"/>
      <c r="BC437" s="89"/>
      <c r="BD437" s="446"/>
      <c r="BE437" s="446"/>
      <c r="BF437" s="89"/>
      <c r="BG437" s="447"/>
      <c r="BH437" s="447"/>
      <c r="BI437" s="443"/>
    </row>
    <row r="438" spans="1:78" ht="19" x14ac:dyDescent="0.2">
      <c r="B438" s="1700"/>
      <c r="C438" s="38" t="s">
        <v>242</v>
      </c>
      <c r="D438" s="25"/>
      <c r="E438" s="78"/>
      <c r="F438" s="709"/>
      <c r="G438" s="708"/>
      <c r="H438" s="709">
        <f>F438*G438</f>
        <v>0</v>
      </c>
      <c r="I438" s="1374">
        <v>11</v>
      </c>
      <c r="J438" s="1375">
        <v>11</v>
      </c>
      <c r="K438" s="31" t="b">
        <f>IF(AND(F438&gt;=I438,F438&lt;=J438),TRUE,FALSE)</f>
        <v>0</v>
      </c>
      <c r="L438" s="31"/>
      <c r="M438" s="31"/>
      <c r="N438" s="31"/>
      <c r="O438" s="1351"/>
      <c r="P438" s="1374">
        <v>11</v>
      </c>
      <c r="Q438" s="1375">
        <v>11</v>
      </c>
      <c r="R438" s="1351" t="b">
        <f>IF(AND(F438&gt;=P438,F438&lt;=Q438),TRUE,FALSE)</f>
        <v>0</v>
      </c>
      <c r="S438" s="1374">
        <v>11</v>
      </c>
      <c r="T438" s="1375">
        <v>11</v>
      </c>
      <c r="U438" s="1351" t="b">
        <f>IF(AND(F438&gt;=S438,F438&lt;=T438),TRUE,FALSE)</f>
        <v>0</v>
      </c>
      <c r="V438" s="807"/>
      <c r="W438" s="821"/>
      <c r="X438" s="822"/>
      <c r="Y438" s="821"/>
      <c r="Z438" s="822"/>
      <c r="AA438" s="821"/>
      <c r="AB438" s="822"/>
      <c r="AD438" s="10"/>
      <c r="AE438" s="10"/>
      <c r="AF438" s="10"/>
      <c r="AG438" s="832">
        <f>IF(K438=TRUE,H438,0)</f>
        <v>0</v>
      </c>
      <c r="AH438" s="832">
        <f>IF(R438=TRUE,H438,0)</f>
        <v>0</v>
      </c>
      <c r="AI438" s="832">
        <f>IF(U438=TRUE,H438,0)</f>
        <v>0</v>
      </c>
      <c r="AJ438" s="1490">
        <f t="shared" ref="AJ438:AJ439" si="886">IF(OR(I438=11,A438="F"),0,G438*I438)</f>
        <v>0</v>
      </c>
      <c r="AK438" s="1490">
        <f t="shared" ref="AK438:AK439" si="887">IF(OR(J438=11,A438="F"),0,G438*J438)</f>
        <v>0</v>
      </c>
      <c r="AL438" s="1490">
        <f t="shared" ref="AL438:AL439" si="888">IF(OR(P438=11,A438="F"),0,G438*P438)</f>
        <v>0</v>
      </c>
      <c r="AM438" s="1490">
        <f t="shared" ref="AM438:AM439" si="889">IF(OR(Q438=11,A438="F"),0,G438*Q438)</f>
        <v>0</v>
      </c>
      <c r="AN438" s="1490">
        <f t="shared" ref="AN438:AN439" si="890">IF(OR(S438=11,A438="F"),0,S438*G438)</f>
        <v>0</v>
      </c>
      <c r="AO438" s="1490">
        <f t="shared" ref="AO438:AO439" si="891">IF(OR(T438=11,A438="F"),0,T438*G438)</f>
        <v>0</v>
      </c>
      <c r="AY438" s="734"/>
      <c r="AZ438" s="734"/>
      <c r="BA438" s="87"/>
      <c r="BB438" s="442"/>
      <c r="BC438" s="89"/>
      <c r="BD438" s="446"/>
      <c r="BE438" s="446"/>
      <c r="BF438" s="89"/>
      <c r="BG438" s="447"/>
      <c r="BH438" s="447"/>
      <c r="BI438" s="443"/>
    </row>
    <row r="439" spans="1:78" ht="19" x14ac:dyDescent="0.2">
      <c r="B439" s="1700"/>
      <c r="C439" s="38" t="s">
        <v>242</v>
      </c>
      <c r="D439" s="25"/>
      <c r="E439" s="48"/>
      <c r="F439" s="27"/>
      <c r="G439" s="27"/>
      <c r="H439" s="27">
        <f>F439*G439</f>
        <v>0</v>
      </c>
      <c r="I439" s="1374">
        <v>11</v>
      </c>
      <c r="J439" s="1375">
        <v>11</v>
      </c>
      <c r="K439" s="31" t="b">
        <f>IF(AND(F439&gt;=I439,F439&lt;=J439),TRUE,FALSE)</f>
        <v>0</v>
      </c>
      <c r="L439" s="31"/>
      <c r="M439" s="31"/>
      <c r="N439" s="31"/>
      <c r="O439" s="1351"/>
      <c r="P439" s="1374">
        <v>11</v>
      </c>
      <c r="Q439" s="1375">
        <v>11</v>
      </c>
      <c r="R439" s="1351" t="b">
        <f>IF(AND(F439&gt;=P439,F439&lt;=Q439),TRUE,FALSE)</f>
        <v>0</v>
      </c>
      <c r="S439" s="1374">
        <v>11</v>
      </c>
      <c r="T439" s="1375">
        <v>11</v>
      </c>
      <c r="U439" s="1351" t="b">
        <f>IF(AND(F439&gt;=S439,F439&lt;=T439),TRUE,FALSE)</f>
        <v>0</v>
      </c>
      <c r="V439" s="807"/>
      <c r="W439" s="821"/>
      <c r="X439" s="822"/>
      <c r="Y439" s="821"/>
      <c r="Z439" s="822"/>
      <c r="AA439" s="821"/>
      <c r="AB439" s="822"/>
      <c r="AD439" s="10"/>
      <c r="AE439" s="10"/>
      <c r="AF439" s="10"/>
      <c r="AG439" s="832">
        <f>IF(K439=TRUE,H439,0)</f>
        <v>0</v>
      </c>
      <c r="AH439" s="832">
        <f>IF(R439=TRUE,H439,0)</f>
        <v>0</v>
      </c>
      <c r="AI439" s="832">
        <f>IF(U439=TRUE,H439,0)</f>
        <v>0</v>
      </c>
      <c r="AJ439" s="1490">
        <f t="shared" si="886"/>
        <v>0</v>
      </c>
      <c r="AK439" s="1490">
        <f t="shared" si="887"/>
        <v>0</v>
      </c>
      <c r="AL439" s="1490">
        <f t="shared" si="888"/>
        <v>0</v>
      </c>
      <c r="AM439" s="1490">
        <f t="shared" si="889"/>
        <v>0</v>
      </c>
      <c r="AN439" s="1490">
        <f t="shared" si="890"/>
        <v>0</v>
      </c>
      <c r="AO439" s="1490">
        <f t="shared" si="891"/>
        <v>0</v>
      </c>
      <c r="AV439" s="7"/>
      <c r="AX439" s="7"/>
      <c r="AY439" s="734"/>
      <c r="AZ439" s="734"/>
      <c r="BA439" s="87"/>
      <c r="BB439" s="442"/>
      <c r="BC439" s="89"/>
      <c r="BD439" s="446"/>
      <c r="BE439" s="446"/>
      <c r="BF439" s="89"/>
      <c r="BG439" s="447"/>
      <c r="BH439" s="447"/>
      <c r="BI439" s="443"/>
      <c r="BN439" s="25"/>
      <c r="BP439" s="7"/>
      <c r="BQ439" s="7"/>
      <c r="BR439" s="7"/>
      <c r="BS439" s="7"/>
      <c r="BT439" s="7"/>
      <c r="BU439" s="7"/>
      <c r="BV439" s="7"/>
      <c r="BW439" s="7"/>
      <c r="BX439" s="7"/>
      <c r="BY439" s="7"/>
      <c r="BZ439" s="7"/>
    </row>
    <row r="440" spans="1:78" ht="20" thickBot="1" x14ac:dyDescent="0.25">
      <c r="B440" s="1700"/>
      <c r="C440" s="716" t="s">
        <v>610</v>
      </c>
      <c r="D440" s="717">
        <f>_xlfn.XLOOKUP(H440,H438:H439,D438:D439)</f>
        <v>0</v>
      </c>
      <c r="E440" s="718">
        <f>_xlfn.XLOOKUP(H440,H438:H439,E438:E439)</f>
        <v>0</v>
      </c>
      <c r="F440" s="719"/>
      <c r="G440" s="719"/>
      <c r="H440" s="713">
        <f>IF(AND(K438=TRUE,K439=FALSE),H438,IF(AND(K438=FALSE,K439=TRUE),H439,MAX(H438,H439)))</f>
        <v>0</v>
      </c>
      <c r="I440" s="1353"/>
      <c r="J440" s="720"/>
      <c r="K440" s="721" t="b">
        <f>IF(AND(K438=FALSE,K439=FALSE),FALSE,TRUE)</f>
        <v>0</v>
      </c>
      <c r="L440" s="31"/>
      <c r="M440" s="31"/>
      <c r="N440" s="31"/>
      <c r="O440" s="1351"/>
      <c r="P440" s="1353"/>
      <c r="Q440" s="720"/>
      <c r="R440" s="1366" t="b">
        <f>IF(AND(R438=FALSE,R439=FALSE),FALSE,TRUE)</f>
        <v>0</v>
      </c>
      <c r="S440" s="1353"/>
      <c r="T440" s="720"/>
      <c r="U440" s="1366" t="b">
        <f>IF(AND(U438=FALSE,U439=FALSE),FALSE,TRUE)</f>
        <v>0</v>
      </c>
      <c r="V440" s="807"/>
      <c r="W440" s="821"/>
      <c r="X440" s="822"/>
      <c r="Y440" s="821"/>
      <c r="Z440" s="822"/>
      <c r="AA440" s="821"/>
      <c r="AB440" s="822"/>
      <c r="AD440" s="10"/>
      <c r="AE440" s="10"/>
      <c r="AF440" s="10"/>
      <c r="AG440" s="1740">
        <f>IF($K440=TRUE,MAX(AG438:AG439),0)</f>
        <v>0</v>
      </c>
      <c r="AH440" s="1740">
        <f>IF($R440=TRUE,MAX(AH438:AH439),0)</f>
        <v>0</v>
      </c>
      <c r="AI440" s="1740">
        <f>IF($U440=TRUE,MAX(AI438:AI439),0)</f>
        <v>0</v>
      </c>
      <c r="AJ440" s="1739">
        <f>MAX(AJ438:AJ439)</f>
        <v>0</v>
      </c>
      <c r="AK440" s="1739">
        <f t="shared" ref="AK440" si="892">MAX(AK438:AK439)</f>
        <v>0</v>
      </c>
      <c r="AL440" s="1739">
        <f t="shared" ref="AL440" si="893">MAX(AL438:AL439)</f>
        <v>0</v>
      </c>
      <c r="AM440" s="1739">
        <f t="shared" ref="AM440" si="894">MAX(AM438:AM439)</f>
        <v>0</v>
      </c>
      <c r="AN440" s="1739">
        <f t="shared" ref="AN440" si="895">MAX(AN438:AN439)</f>
        <v>0</v>
      </c>
      <c r="AO440" s="1739">
        <f t="shared" ref="AO440" si="896">MAX(AO438:AO439)</f>
        <v>0</v>
      </c>
      <c r="AV440" s="7"/>
      <c r="AX440" s="7"/>
      <c r="AY440" s="734"/>
      <c r="AZ440" s="734"/>
      <c r="BA440" s="87"/>
      <c r="BB440" s="442"/>
      <c r="BC440" s="89"/>
      <c r="BD440" s="446"/>
      <c r="BE440" s="446"/>
      <c r="BF440" s="89"/>
      <c r="BG440" s="447"/>
      <c r="BH440" s="447"/>
      <c r="BI440" s="443"/>
      <c r="BN440" s="25"/>
      <c r="BP440" s="7"/>
      <c r="BQ440" s="7"/>
      <c r="BR440" s="7"/>
      <c r="BS440" s="7"/>
      <c r="BT440" s="7"/>
      <c r="BU440" s="7"/>
      <c r="BV440" s="7"/>
      <c r="BW440" s="7"/>
      <c r="BX440" s="7"/>
      <c r="BY440" s="7"/>
      <c r="BZ440" s="7"/>
    </row>
    <row r="441" spans="1:78" ht="35" thickBot="1" x14ac:dyDescent="0.25">
      <c r="B441" s="1700"/>
      <c r="C441" s="722" t="s">
        <v>616</v>
      </c>
      <c r="D441" s="723"/>
      <c r="E441" s="723" t="str">
        <f>IF(H441=H437,E437,E440)</f>
        <v>a le droit de choisir de respecter ou non l'entente de garde</v>
      </c>
      <c r="F441" s="724"/>
      <c r="G441" s="724"/>
      <c r="H441" s="724">
        <f>IF(AND(K437=TRUE,K440=FALSE),H437,IF(AND(K437=FALSE,K440=TRUE),H440,IF(AND(K437=TRUE,K440=TRUE),H437+H440,MAX(H437,H440))))</f>
        <v>0</v>
      </c>
      <c r="I441" s="1354"/>
      <c r="J441" s="725"/>
      <c r="K441" s="726" t="b">
        <f>IF(AND(K437=FALSE,K440=FALSE),FALSE,TRUE)</f>
        <v>0</v>
      </c>
      <c r="L441" s="1338"/>
      <c r="M441" s="1338"/>
      <c r="N441" s="1338"/>
      <c r="O441" s="1355"/>
      <c r="P441" s="1354"/>
      <c r="Q441" s="725"/>
      <c r="R441" s="726" t="b">
        <f>IF(AND(R437=FALSE,R440=FALSE),FALSE,TRUE)</f>
        <v>0</v>
      </c>
      <c r="S441" s="1354"/>
      <c r="T441" s="725"/>
      <c r="U441" s="726" t="b">
        <f>IF(AND(U437=FALSE,U440=FALSE),FALSE,TRUE)</f>
        <v>0</v>
      </c>
      <c r="V441" s="807"/>
      <c r="W441" s="821" t="str">
        <f>IF(K441=TRUE,"V","F")</f>
        <v>F</v>
      </c>
      <c r="X441" s="822"/>
      <c r="Y441" s="821" t="str">
        <f>IF(R441=TRUE,"V","F")</f>
        <v>F</v>
      </c>
      <c r="Z441" s="822"/>
      <c r="AA441" s="821" t="str">
        <f>IF(U441=TRUE,"V","F")</f>
        <v>F</v>
      </c>
      <c r="AB441" s="822"/>
      <c r="AC441" t="str">
        <f>IF(OR(W441="V",Y441="V"),IF(H440&gt;H437,"Le NC contribue plus que le coparent","Le coparent joue un plus grand rôle que le NC"),"pas de contexte significatif de la part du coparent et NC")</f>
        <v>pas de contexte significatif de la part du coparent et NC</v>
      </c>
      <c r="AD441" s="10"/>
      <c r="AE441" s="10"/>
      <c r="AF441" s="10"/>
      <c r="AG441" s="591">
        <f>IF(AND($K437=TRUE,$K440=FALSE),AG437,IF(AND($K437=FALSE,$K440=TRUE),AG440,IF(AND($K437=TRUE,$K440=TRUE),AG437+AG440,0)))</f>
        <v>0</v>
      </c>
      <c r="AH441" s="591">
        <f>IF(AND($R437=TRUE,$R440=FALSE),AH437,IF(AND($R437=FALSE,$R440=TRUE),AH440,IF(AND($R437=TRUE,$R440=TRUE),AH437+AH440,0)))</f>
        <v>0</v>
      </c>
      <c r="AI441" s="591">
        <f>IF(AND($U437=TRUE,$U440=FALSE),AI437,IF(AND($U437=FALSE,$U440=TRUE),AI440,IF(AND($U437=TRUE,$U440=TRUE),AI437+AI440,0)))</f>
        <v>0</v>
      </c>
      <c r="AJ441" s="591">
        <f>IF(AND($K437=TRUE,$K440=FALSE),AJ437,IF(AND($K437=FALSE,$K440=TRUE),AJ440,IF(AND($K437=TRUE,$K440=TRUE),AJ437+AJ440,MAX(AJ437,AJ440))))</f>
        <v>0</v>
      </c>
      <c r="AK441" s="591">
        <f>IF(AND($K437=TRUE,$K440=FALSE),AK437,IF(AND($K437=FALSE,$K440=TRUE),AK440,IF(AND($K437=TRUE,$K440=TRUE),AK437+AK440,MAX(AK437,AK440))))</f>
        <v>0</v>
      </c>
      <c r="AL441" s="591">
        <f t="shared" ref="AL441" si="897">IF(AND($R437=TRUE,$R440=FALSE),AL437,IF(AND($R437=FALSE,$R440=TRUE),AL440,IF(AND($R437=TRUE,$R440=TRUE),AL437+AL440,MAX(AL437,AL440))))</f>
        <v>0</v>
      </c>
      <c r="AM441" s="591">
        <f t="shared" ref="AM441" si="898">IF(AND($R437=TRUE,$R440=FALSE),AM437,IF(AND($R437=FALSE,$R440=TRUE),AM440,IF(AND($R437=TRUE,$R440=TRUE),AM437+AM440,MAX(AM437,AM440))))</f>
        <v>0</v>
      </c>
      <c r="AN441" s="591">
        <f t="shared" ref="AN441" si="899">IF(AND($U437=TRUE,$U440=FALSE),AN437,IF(AND($U437=FALSE,$U440=TRUE),AN440,IF(AND($U437=TRUE,$U440=TRUE),AN437+AN440,MAX(AN437,AN440))))</f>
        <v>0</v>
      </c>
      <c r="AO441" s="591">
        <f t="shared" ref="AO441" si="900">IF(AND($U437=TRUE,$U440=FALSE),AO437,IF(AND($U437=FALSE,$U440=TRUE),AO440,IF(AND($U437=TRUE,$U440=TRUE),AO437+AO440,MAX(AO437,AO440))))</f>
        <v>0</v>
      </c>
      <c r="AV441" s="7"/>
      <c r="AX441" s="7"/>
      <c r="AY441" s="734"/>
      <c r="AZ441" s="734"/>
      <c r="BA441" s="87"/>
      <c r="BB441" s="442"/>
      <c r="BC441" s="89"/>
      <c r="BD441" s="446"/>
      <c r="BE441" s="446"/>
      <c r="BF441" s="89"/>
      <c r="BG441" s="447"/>
      <c r="BH441" s="447"/>
      <c r="BI441" s="443"/>
      <c r="BN441" s="25"/>
      <c r="BP441" s="7"/>
      <c r="BQ441" s="7"/>
      <c r="BR441" s="7"/>
      <c r="BS441" s="7"/>
      <c r="BT441" s="7"/>
      <c r="BU441" s="7"/>
      <c r="BV441" s="7"/>
      <c r="BW441" s="7"/>
      <c r="BX441" s="7"/>
      <c r="BY441" s="7"/>
      <c r="BZ441" s="7"/>
    </row>
    <row r="442" spans="1:78" ht="34" x14ac:dyDescent="0.2">
      <c r="A442" t="str">
        <f>IF(Test_Bible!B327="","F","O")</f>
        <v>F</v>
      </c>
      <c r="B442" s="1700" t="str">
        <f>'Cpts AR +indép + Sommaire'!S67</f>
        <v>Rôle actif de l'enfant</v>
      </c>
      <c r="C442" s="287" t="str">
        <f>'Cpts AR +indép + Sommaire'!O67</f>
        <v>E33a</v>
      </c>
      <c r="D442" s="698" t="str">
        <f>'Cpts AR +indép + Sommaire'!P67</f>
        <v>Votre enfant demande à changer les termes de la garde afin de passer plus de temps chez l’autre parent.</v>
      </c>
      <c r="E442" s="78" t="s">
        <v>661</v>
      </c>
      <c r="F442" s="709">
        <f>'Cpts AR +indép + Sommaire'!Q67</f>
        <v>0</v>
      </c>
      <c r="G442" s="709">
        <f>'Cpts AR +indép + Sommaire'!R67</f>
        <v>2</v>
      </c>
      <c r="H442" s="709">
        <f>F442*G442</f>
        <v>0</v>
      </c>
      <c r="I442" s="1350">
        <v>4</v>
      </c>
      <c r="J442" s="1343">
        <v>10</v>
      </c>
      <c r="K442" s="31" t="b">
        <f>IF(AND(F442&gt;=I442,F442&lt;=J442),TRUE,FALSE)</f>
        <v>0</v>
      </c>
      <c r="L442" s="31"/>
      <c r="M442" s="31"/>
      <c r="N442" s="31"/>
      <c r="O442" s="1351"/>
      <c r="P442" s="1350">
        <v>2</v>
      </c>
      <c r="Q442" s="1343">
        <v>7</v>
      </c>
      <c r="R442" s="1351" t="b">
        <f>IF(AND(F442&gt;=P442,F442&lt;=Q442),TRUE,FALSE)</f>
        <v>0</v>
      </c>
      <c r="S442" s="1350"/>
      <c r="T442" s="1343"/>
      <c r="U442" s="1351"/>
      <c r="V442" s="807"/>
      <c r="W442" s="821" t="s">
        <v>753</v>
      </c>
      <c r="X442" s="822"/>
      <c r="Y442" s="821"/>
      <c r="Z442" s="822"/>
      <c r="AA442" s="821"/>
      <c r="AB442" s="822"/>
      <c r="AD442" s="10"/>
      <c r="AE442" s="10"/>
      <c r="AF442" s="10"/>
      <c r="AG442" s="832">
        <f>IF($K442=TRUE,H442,0)</f>
        <v>0</v>
      </c>
      <c r="AH442" s="832">
        <f>IF($R442=TRUE,H442,0)</f>
        <v>0</v>
      </c>
      <c r="AI442" s="832"/>
      <c r="AJ442" s="1490">
        <f t="shared" ref="AJ442:AJ443" si="901">IF(OR(I442=11,A442="F"),0,G442*I442)</f>
        <v>0</v>
      </c>
      <c r="AK442" s="1490">
        <f t="shared" ref="AK442:AK443" si="902">IF(OR(J442=11,A442="F"),0,G442*J442)</f>
        <v>0</v>
      </c>
      <c r="AL442" s="1490">
        <f t="shared" ref="AL442:AL443" si="903">IF(OR(P442=11,A442="F"),0,G442*P442)</f>
        <v>0</v>
      </c>
      <c r="AM442" s="1490">
        <f t="shared" ref="AM442:AM443" si="904">IF(OR(Q442=11,A442="F"),0,G442*Q442)</f>
        <v>0</v>
      </c>
      <c r="AN442" s="1490">
        <f t="shared" ref="AN442:AN443" si="905">IF(OR(S442=11,A442="F"),0,S442*G442)</f>
        <v>0</v>
      </c>
      <c r="AO442" s="1490">
        <f t="shared" ref="AO442:AO443" si="906">IF(OR(T442=11,A442="F"),0,T442*G442)</f>
        <v>0</v>
      </c>
      <c r="AV442" s="7"/>
      <c r="AX442" s="7"/>
      <c r="AY442" s="734"/>
      <c r="AZ442" s="734"/>
      <c r="BA442" s="87"/>
      <c r="BB442" s="442"/>
      <c r="BC442" s="89"/>
      <c r="BD442" s="446"/>
      <c r="BE442" s="446"/>
      <c r="BF442" s="89"/>
      <c r="BG442" s="447"/>
      <c r="BH442" s="447"/>
      <c r="BI442" s="443"/>
      <c r="BN442" s="25"/>
      <c r="BP442" s="7"/>
      <c r="BQ442" s="7"/>
      <c r="BR442" s="7"/>
      <c r="BS442" s="7"/>
      <c r="BT442" s="7"/>
      <c r="BU442" s="7"/>
      <c r="BV442" s="7"/>
      <c r="BW442" s="7"/>
      <c r="BX442" s="7"/>
      <c r="BY442" s="7"/>
      <c r="BZ442" s="7"/>
    </row>
    <row r="443" spans="1:78" ht="22" thickBot="1" x14ac:dyDescent="0.25">
      <c r="B443" s="1700"/>
      <c r="C443" s="287"/>
      <c r="D443" s="698"/>
      <c r="E443" s="78"/>
      <c r="F443" s="709"/>
      <c r="G443" s="708"/>
      <c r="H443" s="709">
        <f>F443*G443</f>
        <v>0</v>
      </c>
      <c r="I443" s="1350"/>
      <c r="J443" s="1343"/>
      <c r="K443" s="31"/>
      <c r="L443" s="31"/>
      <c r="M443" s="31"/>
      <c r="N443" s="31"/>
      <c r="O443" s="1351"/>
      <c r="P443" s="1350"/>
      <c r="Q443" s="1343"/>
      <c r="R443" s="1351"/>
      <c r="S443" s="1374"/>
      <c r="T443" s="1375"/>
      <c r="U443" s="1351"/>
      <c r="V443" s="807"/>
      <c r="W443" s="821"/>
      <c r="X443" s="822"/>
      <c r="Y443" s="821"/>
      <c r="Z443" s="822"/>
      <c r="AA443" s="821"/>
      <c r="AB443" s="822"/>
      <c r="AD443" s="10"/>
      <c r="AE443" s="10"/>
      <c r="AF443" s="10"/>
      <c r="AG443" s="832">
        <f>IF($K443=TRUE,H443,0)</f>
        <v>0</v>
      </c>
      <c r="AH443" s="832">
        <f>IF($R443=TRUE,H443,0)</f>
        <v>0</v>
      </c>
      <c r="AI443" s="832"/>
      <c r="AJ443" s="1490">
        <f t="shared" si="901"/>
        <v>0</v>
      </c>
      <c r="AK443" s="1490">
        <f t="shared" si="902"/>
        <v>0</v>
      </c>
      <c r="AL443" s="1490">
        <f t="shared" si="903"/>
        <v>0</v>
      </c>
      <c r="AM443" s="1490">
        <f t="shared" si="904"/>
        <v>0</v>
      </c>
      <c r="AN443" s="1490">
        <f t="shared" si="905"/>
        <v>0</v>
      </c>
      <c r="AO443" s="1490">
        <f t="shared" si="906"/>
        <v>0</v>
      </c>
      <c r="AV443" s="7"/>
      <c r="AX443" s="7"/>
      <c r="AY443" s="734"/>
      <c r="AZ443" s="734"/>
      <c r="BA443" s="87"/>
      <c r="BB443" s="442"/>
      <c r="BC443" s="89"/>
      <c r="BD443" s="446"/>
      <c r="BE443" s="446"/>
      <c r="BF443" s="89"/>
      <c r="BG443" s="447"/>
      <c r="BH443" s="447"/>
      <c r="BI443" s="443"/>
      <c r="BN443" s="25"/>
      <c r="BP443" s="7"/>
      <c r="BQ443" s="7"/>
      <c r="BR443" s="7"/>
      <c r="BS443" s="7"/>
      <c r="BT443" s="7"/>
      <c r="BU443" s="7"/>
      <c r="BV443" s="7"/>
      <c r="BW443" s="7"/>
      <c r="BX443" s="7"/>
      <c r="BY443" s="7"/>
      <c r="BZ443" s="7"/>
    </row>
    <row r="444" spans="1:78" ht="35" thickBot="1" x14ac:dyDescent="0.25">
      <c r="B444" s="1700"/>
      <c r="C444" s="727" t="s">
        <v>611</v>
      </c>
      <c r="D444" s="728" t="str">
        <f>_xlfn.XLOOKUP(H444,H442:H443,D442:D443)</f>
        <v>Votre enfant demande à changer les termes de la garde afin de passer plus de temps chez l’autre parent.</v>
      </c>
      <c r="E444" s="728" t="str">
        <f>_xlfn.XLOOKUP(H444,H442:H443,E442:E443)</f>
        <v>a demandé de changer les termes de la garde pour favoriser l'autre</v>
      </c>
      <c r="F444" s="729"/>
      <c r="G444" s="729"/>
      <c r="H444" s="729">
        <f>IF(AND(K442=TRUE,K443=FALSE),H442,IF(AND(K442=FALSE,K443=TRUE),H443,MAX(H442,H443)))</f>
        <v>0</v>
      </c>
      <c r="I444" s="1356"/>
      <c r="J444" s="730"/>
      <c r="K444" s="731" t="b">
        <f>IF(AND(K442=FALSE,K443=FALSE),FALSE,TRUE)</f>
        <v>0</v>
      </c>
      <c r="L444" s="1339"/>
      <c r="M444" s="1339"/>
      <c r="N444" s="1339"/>
      <c r="O444" s="1357"/>
      <c r="P444" s="1356"/>
      <c r="Q444" s="730"/>
      <c r="R444" s="731" t="b">
        <f>IF(AND(R442=FALSE,R443=FALSE),FALSE,TRUE)</f>
        <v>0</v>
      </c>
      <c r="S444" s="1356"/>
      <c r="T444" s="730"/>
      <c r="U444" s="731"/>
      <c r="V444" s="807"/>
      <c r="W444" s="821" t="str">
        <f>IF(K444=TRUE,"V","F")</f>
        <v>F</v>
      </c>
      <c r="X444" s="822"/>
      <c r="Y444" s="821" t="str">
        <f>IF(R444=TRUE,"V","F")</f>
        <v>F</v>
      </c>
      <c r="Z444" s="822"/>
      <c r="AA444" s="821"/>
      <c r="AB444" s="822"/>
      <c r="AD444" s="10"/>
      <c r="AE444" s="10"/>
      <c r="AF444" s="10"/>
      <c r="AG444" s="1742">
        <f>IF(AND($K442=TRUE,$K443=FALSE),AG442,IF(AND($K442=FALSE,$K443=TRUE),AG443,IF(AND($K442=TRUE,$K443=TRUE),MAX(AG442,AG443),0)))</f>
        <v>0</v>
      </c>
      <c r="AH444" s="1742">
        <f>IF(AND($R442=TRUE,$R443=FALSE),AH442,IF(AND($R442=FALSE,$R443=TRUE),AH443,IF(AND($R442=TRUE,$R443=TRUE),MAX(AH442,AH443),0)))</f>
        <v>0</v>
      </c>
      <c r="AI444" s="1742"/>
      <c r="AJ444" s="1742">
        <f>IF(AND($K442=TRUE,$K443=FALSE),AJ442,IF(AND($K442=FALSE,$K443=TRUE),AJ443,IF(AND($K442=TRUE,$K443=TRUE),MAX(AJ442,AJ443),0)))</f>
        <v>0</v>
      </c>
      <c r="AK444" s="1742">
        <f>IF(AND($K442=TRUE,$K443=FALSE),AK442,IF(AND($K442=FALSE,$K443=TRUE),AK443,IF(AND($K442=TRUE,$K443=TRUE),MAX(AK442,AK443),0)))</f>
        <v>0</v>
      </c>
      <c r="AL444" s="1742">
        <f t="shared" ref="AL444" si="907">IF(AND($R442=TRUE,$R443=FALSE),AL442,IF(AND($R442=FALSE,$R443=TRUE),AL443,IF(AND($R442=TRUE,$R443=TRUE),MAX(AL442,AL443),0)))</f>
        <v>0</v>
      </c>
      <c r="AM444" s="1742">
        <f t="shared" ref="AM444" si="908">IF(AND($R442=TRUE,$R443=FALSE),AM442,IF(AND($R442=FALSE,$R443=TRUE),AM443,IF(AND($R442=TRUE,$R443=TRUE),MAX(AM442,AM443),0)))</f>
        <v>0</v>
      </c>
      <c r="AN444" s="1742"/>
      <c r="AO444" s="1742"/>
      <c r="AY444" s="734"/>
      <c r="AZ444" s="734"/>
      <c r="BA444" s="87"/>
      <c r="BB444" s="442"/>
      <c r="BC444" s="89"/>
      <c r="BD444" s="446"/>
      <c r="BE444" s="446"/>
      <c r="BF444" s="89"/>
      <c r="BG444" s="447"/>
      <c r="BH444" s="447"/>
      <c r="BI444" s="443"/>
    </row>
    <row r="445" spans="1:78" ht="34" x14ac:dyDescent="0.2">
      <c r="B445" s="1700"/>
      <c r="D445" s="386" t="s">
        <v>273</v>
      </c>
      <c r="E445" s="705"/>
      <c r="F445" s="439" t="s">
        <v>349</v>
      </c>
      <c r="G445" s="33"/>
      <c r="H445" s="33">
        <f>IF(AND(K441=TRUE,K444=FALSE),H441,IF(AND(K441=FALSE,K444=TRUE),H444,IF(AND(K441=TRUE,K444=TRUE),H441+H444,MAX(H441,H444))))</f>
        <v>0</v>
      </c>
      <c r="I445" s="1358"/>
      <c r="J445" s="440"/>
      <c r="K445" s="1341"/>
      <c r="L445" s="1342" t="str">
        <f>IF(AND(K444=TRUE,K441=TRUE),E444,"")</f>
        <v/>
      </c>
      <c r="M445" s="1342" t="str">
        <f>IF(AND(K441=TRUE,K444=FALSE),"Bien que le parent "&amp;E441&amp;" l'enfant ne semble pas s'ingérer","")</f>
        <v/>
      </c>
      <c r="N445" s="1342" t="str">
        <f>IF(AND(K441=FALSE,K444=TRUE),E444&amp;" sans signe de la participation du parent favorisé et|ou nouveau conjoint.e","")</f>
        <v/>
      </c>
      <c r="O445" s="1359" t="str">
        <f>IF(AND(K441=FALSE,K444=FALSE),"aucun comportement significatif de cette nature","")</f>
        <v>aucun comportement significatif de cette nature</v>
      </c>
      <c r="P445" s="1358"/>
      <c r="Q445" s="440"/>
      <c r="R445" s="1367"/>
      <c r="S445" s="1358"/>
      <c r="T445" s="440"/>
      <c r="U445" s="1367"/>
      <c r="V445" s="145"/>
      <c r="W445" s="823"/>
      <c r="X445" s="824">
        <f>IF(AND(W441="V",W444="V"),2,IF(OR(W441="V",W444="V"),1,0))</f>
        <v>0</v>
      </c>
      <c r="Y445" s="823"/>
      <c r="Z445" s="824">
        <f>IF(OR(Y441="V",Y444="V"),1,0)</f>
        <v>0</v>
      </c>
      <c r="AA445" s="823"/>
      <c r="AB445" s="824"/>
      <c r="AD445" s="10"/>
      <c r="AE445" s="10"/>
      <c r="AF445" s="10"/>
      <c r="AG445" s="1738">
        <f>IF(AND($W441="V",$W444="F"),AG441,IF(AND($W441="F",$W444="V"),AG444,IF(AND($W441="V",$W444="V"),AG441+AG444,0)))</f>
        <v>0</v>
      </c>
      <c r="AH445" s="1738">
        <f>IF(AND($Y441="V",$Y444="F"),AH441,IF(AND($Y441="F",$Y444="V"),AH444,IF(AND($Y441="V",$Y444="V"),AH441+AH444,0)))</f>
        <v>0</v>
      </c>
      <c r="AI445" s="1738"/>
      <c r="AJ445" s="1738">
        <f>IF(AND($W441="V",$W444="F"),AJ441,IF(AND($W441="F",$W444="V"),AJ444,IF(AND($W441="V",$W444="V"),AJ441+AJ444,0)))</f>
        <v>0</v>
      </c>
      <c r="AK445" s="1738">
        <f>IF(AND($W441="V",$W444="F"),AK441,IF(AND($W441="F",$W444="V"),AK444,IF(AND($W441="V",$W444="V"),AK441+AK444,0)))</f>
        <v>0</v>
      </c>
      <c r="AL445" s="1738">
        <f>IF(AND($Y441="V",$Y444="F"),AL441,IF(AND($Y441="F",$Y444="V"),AL444,IF(AND($Y441="V",$Y444="V"),AL441+AL444,0)))</f>
        <v>0</v>
      </c>
      <c r="AM445" s="1738">
        <f>IF(AND($Y441="V",$Y444="F"),AM441,IF(AND($Y441="F",$Y444="V"),AM444,IF(AND($Y441="V",$Y444="V"),AM441+AM444,0)))</f>
        <v>0</v>
      </c>
      <c r="AN445" s="1738"/>
      <c r="AO445" s="1738"/>
      <c r="AY445" s="734"/>
      <c r="AZ445" s="734"/>
      <c r="BA445" s="87"/>
      <c r="BB445" s="442"/>
      <c r="BC445" s="89"/>
      <c r="BD445" s="446"/>
      <c r="BE445" s="446"/>
      <c r="BF445" s="89"/>
      <c r="BG445" s="447"/>
      <c r="BH445" s="447"/>
      <c r="BI445" s="443"/>
    </row>
    <row r="446" spans="1:78" ht="19" x14ac:dyDescent="0.2">
      <c r="B446" s="1700"/>
      <c r="C446" t="s">
        <v>238</v>
      </c>
      <c r="I446" s="122"/>
      <c r="L446" s="32"/>
      <c r="M446" s="32"/>
      <c r="N446" s="32"/>
      <c r="O446" s="1379"/>
      <c r="P446" s="122"/>
      <c r="R446" s="292"/>
      <c r="S446" s="122"/>
      <c r="U446" s="292"/>
      <c r="V446" s="32"/>
      <c r="W446" s="821"/>
      <c r="X446" s="822"/>
      <c r="Y446" s="821"/>
      <c r="Z446" s="822"/>
      <c r="AA446" s="821"/>
      <c r="AB446" s="822"/>
      <c r="AD446" s="10"/>
      <c r="AE446" s="10"/>
      <c r="AF446" s="10"/>
      <c r="AG446" s="832"/>
      <c r="AH446" s="832"/>
      <c r="AI446" s="832"/>
      <c r="AJ446" s="1490"/>
      <c r="AK446" s="1490"/>
      <c r="AL446" s="1490"/>
      <c r="AM446" s="1490"/>
      <c r="AN446" s="1490"/>
      <c r="AO446" s="1490"/>
      <c r="AY446" s="734"/>
      <c r="AZ446" s="734"/>
      <c r="BA446" s="87"/>
      <c r="BB446" s="442"/>
      <c r="BC446" s="89"/>
      <c r="BD446" s="446"/>
      <c r="BE446" s="446"/>
      <c r="BF446" s="89"/>
      <c r="BG446" s="447"/>
      <c r="BH446" s="447"/>
      <c r="BI446" s="443"/>
    </row>
    <row r="447" spans="1:78" ht="48" x14ac:dyDescent="0.2">
      <c r="A447" t="str">
        <f>IF(Test_Bible!B136="","F","O")</f>
        <v>O</v>
      </c>
      <c r="B447" s="1700" t="str">
        <f>'Cpts AR +indép + Sommaire'!Y67</f>
        <v>Interférence temps et/ou communication</v>
      </c>
      <c r="C447" s="825" t="str">
        <f>'Cpts AR +indép + Sommaire'!U67</f>
        <v>PCR09</v>
      </c>
      <c r="D447" s="826" t="str">
        <f>'Cpts AR +indép + Sommaire'!V67</f>
        <v>Vous laissez à votre enfant le droit de choisir la fréquence des visites et le temps qu'il passe chez l'autre parent.</v>
      </c>
      <c r="E447" s="826"/>
      <c r="F447" s="830">
        <f>'Cpts AR +indép + Sommaire'!W67</f>
        <v>2</v>
      </c>
      <c r="G447" s="830">
        <f>'Cpts AR +indép + Sommaire'!X67</f>
        <v>3</v>
      </c>
      <c r="H447" s="830">
        <f>F447*G447</f>
        <v>6</v>
      </c>
      <c r="I447" s="1350">
        <v>4</v>
      </c>
      <c r="J447" s="1343">
        <v>10</v>
      </c>
      <c r="K447" s="31" t="b">
        <f>IF(AND(F447&gt;=I447,F447&lt;=J447),TRUE,FALSE)</f>
        <v>0</v>
      </c>
      <c r="L447" s="26"/>
      <c r="M447" s="26"/>
      <c r="N447" s="26"/>
      <c r="O447" s="1360"/>
      <c r="P447" s="1374">
        <v>11</v>
      </c>
      <c r="Q447" s="1375">
        <v>11</v>
      </c>
      <c r="R447" s="1351" t="b">
        <f>IF(AND(F447&gt;=P447,F447&lt;=Q447),TRUE,FALSE)</f>
        <v>0</v>
      </c>
      <c r="S447" s="1350">
        <v>4</v>
      </c>
      <c r="T447" s="1343">
        <v>7</v>
      </c>
      <c r="U447" s="1351" t="b">
        <f>IF(AND(F447&gt;=S447,F447&lt;=T447),TRUE,FALSE)</f>
        <v>0</v>
      </c>
      <c r="V447" s="32"/>
      <c r="W447" s="821"/>
      <c r="X447" s="822"/>
      <c r="Y447" s="821"/>
      <c r="Z447" s="822"/>
      <c r="AA447" s="821"/>
      <c r="AB447" s="822"/>
      <c r="AD447" s="10"/>
      <c r="AE447" s="10"/>
      <c r="AF447" s="10"/>
      <c r="AG447" s="832">
        <f>IF($K447=TRUE,H447,0)</f>
        <v>0</v>
      </c>
      <c r="AH447" s="832">
        <f>IF($R447=TRUE,H447,0)</f>
        <v>0</v>
      </c>
      <c r="AI447" s="832">
        <f>IF($U447=TRUE,H447,0)</f>
        <v>0</v>
      </c>
      <c r="AJ447" s="1490">
        <f t="shared" ref="AJ447:AJ448" si="909">IF(OR(I447=11,A447="F"),0,G447*I447)</f>
        <v>12</v>
      </c>
      <c r="AK447" s="1490">
        <f t="shared" ref="AK447:AK448" si="910">IF(OR(J447=11,A447="F"),0,G447*J447)</f>
        <v>30</v>
      </c>
      <c r="AL447" s="1490">
        <f t="shared" ref="AL447:AL448" si="911">IF(OR(P447=11,A447="F"),0,G447*P447)</f>
        <v>0</v>
      </c>
      <c r="AM447" s="1490">
        <f t="shared" ref="AM447:AM448" si="912">IF(OR(Q447=11,A447="F"),0,G447*Q447)</f>
        <v>0</v>
      </c>
      <c r="AN447" s="1490">
        <f t="shared" ref="AN447:AN448" si="913">IF(OR(S447=11,A447="F"),0,S447*G447)</f>
        <v>12</v>
      </c>
      <c r="AO447" s="1490">
        <f t="shared" ref="AO447:AO448" si="914">IF(OR(T447=11,A447="F"),0,T447*G447)</f>
        <v>21</v>
      </c>
      <c r="AY447" s="734"/>
      <c r="AZ447" s="734"/>
      <c r="BA447" s="87"/>
      <c r="BB447" s="442"/>
      <c r="BC447" s="89"/>
      <c r="BD447" s="446"/>
      <c r="BE447" s="446"/>
      <c r="BF447" s="89"/>
      <c r="BG447" s="447"/>
      <c r="BH447" s="447"/>
      <c r="BI447" s="443"/>
    </row>
    <row r="448" spans="1:78" ht="20" thickBot="1" x14ac:dyDescent="0.25">
      <c r="B448" s="1700"/>
      <c r="C448" s="825"/>
      <c r="D448" s="829"/>
      <c r="E448" s="826"/>
      <c r="F448" s="830"/>
      <c r="G448" s="830"/>
      <c r="H448" s="830">
        <f>F448*G448</f>
        <v>0</v>
      </c>
      <c r="I448" s="1374">
        <v>11</v>
      </c>
      <c r="J448" s="1375">
        <v>11</v>
      </c>
      <c r="K448" s="31" t="b">
        <f>IF(AND(F448&gt;=I448,F448&lt;=J448),TRUE,FALSE)</f>
        <v>0</v>
      </c>
      <c r="L448" s="26"/>
      <c r="M448" s="26"/>
      <c r="N448" s="26"/>
      <c r="O448" s="1360"/>
      <c r="P448" s="1374">
        <v>11</v>
      </c>
      <c r="Q448" s="1375">
        <v>11</v>
      </c>
      <c r="R448" s="1351" t="b">
        <f>IF(AND(F448&gt;=P448,F448&lt;=Q448),TRUE,FALSE)</f>
        <v>0</v>
      </c>
      <c r="S448" s="1374">
        <v>11</v>
      </c>
      <c r="T448" s="1375">
        <v>11</v>
      </c>
      <c r="U448" s="1351" t="b">
        <f>IF(AND(F448&gt;=S448,F448&lt;=T448),TRUE,FALSE)</f>
        <v>0</v>
      </c>
      <c r="W448" s="821"/>
      <c r="X448" s="822"/>
      <c r="Y448" s="821"/>
      <c r="Z448" s="822"/>
      <c r="AA448" s="821"/>
      <c r="AB448" s="822"/>
      <c r="AD448" s="10"/>
      <c r="AE448" s="10"/>
      <c r="AF448" s="10"/>
      <c r="AG448" s="832">
        <f>IF($K448=TRUE,H448,0)</f>
        <v>0</v>
      </c>
      <c r="AH448" s="832">
        <f>IF($R448=TRUE,H448,0)</f>
        <v>0</v>
      </c>
      <c r="AI448" s="832">
        <f>IF($U448=TRUE,H448,0)</f>
        <v>0</v>
      </c>
      <c r="AJ448" s="1490">
        <f t="shared" si="909"/>
        <v>0</v>
      </c>
      <c r="AK448" s="1490">
        <f t="shared" si="910"/>
        <v>0</v>
      </c>
      <c r="AL448" s="1490">
        <f t="shared" si="911"/>
        <v>0</v>
      </c>
      <c r="AM448" s="1490">
        <f t="shared" si="912"/>
        <v>0</v>
      </c>
      <c r="AN448" s="1490">
        <f t="shared" si="913"/>
        <v>0</v>
      </c>
      <c r="AO448" s="1490">
        <f t="shared" si="914"/>
        <v>0</v>
      </c>
      <c r="AY448" s="734"/>
      <c r="AZ448" s="734"/>
      <c r="BA448" s="87"/>
      <c r="BB448" s="442"/>
      <c r="BC448" s="89"/>
      <c r="BD448" s="446"/>
      <c r="BE448" s="446"/>
      <c r="BF448" s="89"/>
      <c r="BG448" s="447"/>
      <c r="BH448" s="447"/>
      <c r="BI448" s="443"/>
    </row>
    <row r="449" spans="1:78" ht="27" thickBot="1" x14ac:dyDescent="0.35">
      <c r="D449" s="16"/>
      <c r="E449" s="16"/>
      <c r="F449" s="67"/>
      <c r="G449" s="438"/>
      <c r="H449" s="33">
        <f>IF(AND(K447=TRUE,K448=FALSE),H447,IF(AND(K447=FALSE,K448=TRUE),H448,MAX(H447,H448)))</f>
        <v>6</v>
      </c>
      <c r="I449" s="1371"/>
      <c r="J449" s="1372"/>
      <c r="K449" s="1378" t="b">
        <f>IF(AND(K447=FALSE,K448=FALSE),FALSE,TRUE)</f>
        <v>0</v>
      </c>
      <c r="L449" s="1361"/>
      <c r="M449" s="1362"/>
      <c r="N449" s="1362"/>
      <c r="O449" s="1363"/>
      <c r="P449" s="1371"/>
      <c r="Q449" s="1372"/>
      <c r="R449" s="1378" t="b">
        <f>IF(AND(R447=FALSE,R448=FALSE),FALSE,TRUE)</f>
        <v>0</v>
      </c>
      <c r="S449" s="1383"/>
      <c r="T449" s="1384"/>
      <c r="U449" s="1385" t="b">
        <f>IF(AND(U447=FALSE,U448=FALSE),FALSE,TRUE)</f>
        <v>0</v>
      </c>
      <c r="V449" s="809"/>
      <c r="W449" s="1315" t="str">
        <f>IF(K449=TRUE,"V","F")</f>
        <v>F</v>
      </c>
      <c r="X449" s="1316"/>
      <c r="Y449" s="1315" t="str">
        <f>IF(R449=TRUE,"V","F")</f>
        <v>F</v>
      </c>
      <c r="Z449" s="1316"/>
      <c r="AA449" s="1315" t="str">
        <f>IF(U449=TRUE,"V","F")</f>
        <v>F</v>
      </c>
      <c r="AB449" s="1316"/>
      <c r="AD449" s="10"/>
      <c r="AE449" s="10"/>
      <c r="AF449" s="10"/>
      <c r="AG449" s="1742">
        <f>IF(AND($K447=TRUE,$K448=FALSE),AG447,IF(AND($K447=FALSE,$K448=TRUE),AG448,MAX(AG447,AG448)))</f>
        <v>0</v>
      </c>
      <c r="AH449" s="1742">
        <f>IF(AND($R447=TRUE,$R448=FALSE),AH447,IF(AND($R447=FALSE,$R448=TRUE),AH448,MAX(AH447,AH448)))</f>
        <v>0</v>
      </c>
      <c r="AI449" s="1742">
        <f>IF(AND($U447=TRUE,$U448=FALSE),AI447,IF(AND($U447=FALSE,$U448=TRUE),AI448,MAX(AI447,AI448)))</f>
        <v>0</v>
      </c>
      <c r="AJ449" s="1742">
        <f>IF(AND($K447=TRUE,$K448=FALSE),AJ447,IF(AND($K447=FALSE,$K448=TRUE),AJ448,MAX(AJ447,AJ448)))</f>
        <v>12</v>
      </c>
      <c r="AK449" s="1742">
        <f>IF(AND($K447=TRUE,$K448=FALSE),AK447,IF(AND($K447=FALSE,$K448=TRUE),AK448,MAX(AK447,AK448)))</f>
        <v>30</v>
      </c>
      <c r="AL449" s="1742">
        <f>IF(AND($R447=TRUE,$R448=FALSE),AL447,IF(AND($R447=FALSE,$R448=TRUE),AL448,MAX(AL447,AL448)))</f>
        <v>0</v>
      </c>
      <c r="AM449" s="1742">
        <f>IF(AND($R447=TRUE,$R448=FALSE),AM447,IF(AND($R447=FALSE,$R448=TRUE),AM448,MAX(AM447,AM448)))</f>
        <v>0</v>
      </c>
      <c r="AN449" s="1742">
        <f>IF(AND($U447=TRUE,$U448=FALSE),AN447,IF(AND($U447=FALSE,$U448=TRUE),AN448,MAX(AN447,AN448)))</f>
        <v>12</v>
      </c>
      <c r="AO449" s="1742">
        <f>IF(AND($U447=TRUE,$U448=FALSE),AO447,IF(AND($U447=FALSE,$U448=TRUE),AO448,MAX(AO447,AO448)))</f>
        <v>21</v>
      </c>
      <c r="AY449" s="734"/>
      <c r="AZ449" s="734"/>
      <c r="BA449" s="87"/>
      <c r="BB449" s="442"/>
      <c r="BC449" s="89"/>
      <c r="BD449" s="446"/>
      <c r="BE449" s="446"/>
      <c r="BF449" s="89"/>
      <c r="BG449" s="447"/>
      <c r="BH449" s="447"/>
      <c r="BI449" s="443"/>
    </row>
    <row r="450" spans="1:78" ht="27" thickBot="1" x14ac:dyDescent="0.35">
      <c r="D450" s="16"/>
      <c r="E450" s="16"/>
      <c r="F450" s="67"/>
      <c r="G450" s="438"/>
      <c r="H450" s="438"/>
      <c r="I450" s="8"/>
      <c r="J450" s="8"/>
      <c r="K450" s="808"/>
      <c r="L450" s="809"/>
      <c r="M450" s="809"/>
      <c r="N450" s="809"/>
      <c r="O450" s="809"/>
      <c r="P450" s="809"/>
      <c r="Q450" s="809"/>
      <c r="R450" s="809"/>
      <c r="S450" s="809"/>
      <c r="T450" s="809"/>
      <c r="U450" s="809"/>
      <c r="V450" s="809"/>
      <c r="W450" s="1376"/>
      <c r="X450" s="1377">
        <f>IF(AND(W449="V",W441="V"),X445-1,X445)</f>
        <v>0</v>
      </c>
      <c r="Y450" s="1376"/>
      <c r="Z450" s="1377">
        <f>IF(OR(Y441="V",Y444="V",Y449="V"),1,0)</f>
        <v>0</v>
      </c>
      <c r="AA450" s="1376"/>
      <c r="AB450" s="1377">
        <f>IF(AA441="V",1,IF(AA449="V",1,0))</f>
        <v>0</v>
      </c>
      <c r="AD450" s="10">
        <f>X450</f>
        <v>0</v>
      </c>
      <c r="AE450" s="10">
        <f>Z450</f>
        <v>0</v>
      </c>
      <c r="AF450" s="10">
        <f>AB450</f>
        <v>0</v>
      </c>
      <c r="AG450" s="1741">
        <f>IF($W449="F",AG445,AG445+AG449)</f>
        <v>0</v>
      </c>
      <c r="AH450" s="1741">
        <f>IF($Y449="F",AH445,AH445+AH449)</f>
        <v>0</v>
      </c>
      <c r="AI450" s="1741">
        <f>IF(AND($AA441="V",$AA449="F"),AI441,IF(AND($AA441="F",$AA449="V"),AI449,IF(AND($AA441="V",$AA449="V"),AI441+AI449,0)))</f>
        <v>0</v>
      </c>
      <c r="AJ450" s="1741">
        <f>IF($W449="F",AJ445,AJ445+AJ449)</f>
        <v>0</v>
      </c>
      <c r="AK450" s="1741">
        <f t="shared" ref="AK450" si="915">IF($W449="F",AK445,AK445+AK449)</f>
        <v>0</v>
      </c>
      <c r="AL450" s="1741">
        <f t="shared" ref="AL450" si="916">IF($Y449="F",AL445,AL445+AL449)</f>
        <v>0</v>
      </c>
      <c r="AM450" s="1741">
        <f t="shared" ref="AM450" si="917">IF($Y449="F",AM445,AM445+AM449)</f>
        <v>0</v>
      </c>
      <c r="AN450" s="1741">
        <f t="shared" ref="AN450" si="918">IF(AND($AA441="V",$AA449="F"),AN441,IF(AND($AA441="F",$AA449="V"),AN449,IF(AND($AA441="V",$AA449="V"),AN441+AN449,0)))</f>
        <v>0</v>
      </c>
      <c r="AO450" s="1741">
        <f t="shared" ref="AO450" si="919">IF(AND($AA441="V",$AA449="F"),AO441,IF(AND($AA441="F",$AA449="V"),AO449,IF(AND($AA441="V",$AA449="V"),AO441+AO449,0)))</f>
        <v>0</v>
      </c>
      <c r="AY450" s="734"/>
      <c r="AZ450" s="734"/>
      <c r="BA450" s="87"/>
      <c r="BB450" s="442"/>
      <c r="BC450" s="89"/>
      <c r="BD450" s="446"/>
      <c r="BE450" s="446"/>
      <c r="BF450" s="89"/>
      <c r="BG450" s="447"/>
      <c r="BH450" s="447"/>
      <c r="BI450" s="443"/>
    </row>
    <row r="451" spans="1:78" x14ac:dyDescent="0.3">
      <c r="D451" s="16"/>
      <c r="E451" s="16"/>
      <c r="F451" s="67"/>
      <c r="G451" s="438"/>
      <c r="H451" s="438"/>
      <c r="I451" s="1344"/>
      <c r="J451" s="1345"/>
      <c r="K451" s="1346"/>
      <c r="L451" s="2603"/>
      <c r="M451" s="2603"/>
      <c r="N451" s="2603"/>
      <c r="O451" s="1347"/>
      <c r="P451" s="1364"/>
      <c r="Q451" s="1346"/>
      <c r="R451" s="1347"/>
      <c r="S451" s="1364"/>
      <c r="T451" s="1346"/>
      <c r="U451" s="1347"/>
      <c r="V451" s="145"/>
      <c r="W451" s="1387"/>
      <c r="X451" s="1388"/>
      <c r="Y451" s="1231"/>
      <c r="Z451" s="1231"/>
      <c r="AA451" s="1231"/>
      <c r="AB451" s="1231"/>
      <c r="AD451" s="10"/>
      <c r="AE451" s="10"/>
      <c r="AF451" s="10"/>
      <c r="AY451" s="734"/>
      <c r="AZ451" s="734"/>
      <c r="BA451" s="87"/>
      <c r="BB451" s="442"/>
      <c r="BC451" s="89"/>
      <c r="BD451" s="446"/>
      <c r="BE451" s="446"/>
      <c r="BF451" s="89"/>
      <c r="BG451" s="447"/>
      <c r="BH451" s="447"/>
      <c r="BI451" s="443"/>
    </row>
    <row r="452" spans="1:78" x14ac:dyDescent="0.3">
      <c r="B452" s="1699">
        <v>22</v>
      </c>
      <c r="D452" s="441" t="str">
        <f>'Cpts AR +indép + Sommaire'!B70</f>
        <v>Maturité de l'enfant de choisir</v>
      </c>
      <c r="E452" s="84"/>
      <c r="F452" s="50"/>
      <c r="G452" s="18"/>
      <c r="H452" s="18"/>
      <c r="I452" s="2595" t="s">
        <v>604</v>
      </c>
      <c r="J452" s="2596"/>
      <c r="K452" s="2596"/>
      <c r="L452" s="2597" t="s">
        <v>1086</v>
      </c>
      <c r="M452" s="2597"/>
      <c r="N452" s="2597"/>
      <c r="O452" s="2598"/>
      <c r="P452" s="2599" t="s">
        <v>603</v>
      </c>
      <c r="Q452" s="2600"/>
      <c r="R452" s="2601"/>
      <c r="S452" s="2590" t="s">
        <v>605</v>
      </c>
      <c r="T452" s="2591"/>
      <c r="U452" s="2592"/>
      <c r="V452" s="15"/>
      <c r="W452" s="817"/>
      <c r="X452" s="817"/>
      <c r="Y452" s="817"/>
      <c r="Z452" s="817"/>
      <c r="AA452" s="817"/>
      <c r="AB452" s="818"/>
      <c r="AD452" s="10"/>
      <c r="AE452" s="10"/>
      <c r="AF452" s="10"/>
      <c r="AG452" s="1386" t="s">
        <v>604</v>
      </c>
      <c r="AH452" s="1386" t="s">
        <v>603</v>
      </c>
      <c r="AI452" s="1386" t="s">
        <v>605</v>
      </c>
      <c r="AJ452" s="2589" t="s">
        <v>604</v>
      </c>
      <c r="AK452" s="2589"/>
      <c r="AL452" s="2589" t="s">
        <v>603</v>
      </c>
      <c r="AM452" s="2589"/>
      <c r="AN452" s="2589" t="s">
        <v>605</v>
      </c>
      <c r="AO452" s="2589"/>
      <c r="AY452" s="734"/>
      <c r="AZ452" s="734"/>
      <c r="BA452" s="87"/>
      <c r="BB452" s="442"/>
      <c r="BC452" s="89"/>
      <c r="BD452" s="446"/>
      <c r="BE452" s="446"/>
      <c r="BF452" s="89"/>
      <c r="BG452" s="447"/>
      <c r="BH452" s="447"/>
      <c r="BI452" s="443"/>
    </row>
    <row r="453" spans="1:78" ht="34" x14ac:dyDescent="0.2">
      <c r="B453" s="1700"/>
      <c r="D453" s="79" t="s">
        <v>779</v>
      </c>
      <c r="E453" s="835" t="s">
        <v>778</v>
      </c>
      <c r="F453" s="26" t="s">
        <v>226</v>
      </c>
      <c r="G453" s="26" t="s">
        <v>22</v>
      </c>
      <c r="H453" s="26" t="s">
        <v>612</v>
      </c>
      <c r="I453" s="1348" t="s">
        <v>269</v>
      </c>
      <c r="J453" s="29" t="s">
        <v>270</v>
      </c>
      <c r="K453" s="29" t="s">
        <v>271</v>
      </c>
      <c r="L453" s="29" t="s">
        <v>363</v>
      </c>
      <c r="M453" s="29" t="s">
        <v>339</v>
      </c>
      <c r="N453" s="29" t="s">
        <v>340</v>
      </c>
      <c r="O453" s="1349" t="s">
        <v>341</v>
      </c>
      <c r="P453" s="1348" t="s">
        <v>269</v>
      </c>
      <c r="Q453" s="29" t="s">
        <v>270</v>
      </c>
      <c r="R453" s="1349" t="s">
        <v>271</v>
      </c>
      <c r="S453" s="1348" t="s">
        <v>269</v>
      </c>
      <c r="T453" s="29" t="s">
        <v>270</v>
      </c>
      <c r="U453" s="1349" t="s">
        <v>271</v>
      </c>
      <c r="V453" s="736"/>
      <c r="W453" s="827" t="s">
        <v>604</v>
      </c>
      <c r="X453" s="828" t="s">
        <v>754</v>
      </c>
      <c r="Y453" s="827" t="s">
        <v>603</v>
      </c>
      <c r="Z453" s="828" t="s">
        <v>755</v>
      </c>
      <c r="AA453" s="827" t="s">
        <v>605</v>
      </c>
      <c r="AB453" s="828" t="s">
        <v>756</v>
      </c>
      <c r="AD453" s="10"/>
      <c r="AE453" s="10"/>
      <c r="AF453" s="10"/>
      <c r="AG453" s="10"/>
      <c r="AH453" s="10"/>
      <c r="AI453" s="10"/>
      <c r="AJ453" s="1490" t="s">
        <v>1058</v>
      </c>
      <c r="AK453" s="1490" t="s">
        <v>1059</v>
      </c>
      <c r="AL453" s="1490" t="s">
        <v>1058</v>
      </c>
      <c r="AM453" s="1490" t="s">
        <v>1059</v>
      </c>
      <c r="AN453" s="1490" t="s">
        <v>1058</v>
      </c>
      <c r="AO453" s="1490" t="s">
        <v>1059</v>
      </c>
      <c r="AY453" s="734"/>
      <c r="AZ453" s="734"/>
      <c r="BA453" s="87"/>
      <c r="BB453" s="442"/>
      <c r="BC453" s="89"/>
      <c r="BD453" s="446"/>
      <c r="BE453" s="446"/>
      <c r="BF453" s="89"/>
      <c r="BG453" s="447"/>
      <c r="BH453" s="447"/>
      <c r="BI453" s="443"/>
    </row>
    <row r="454" spans="1:78" ht="34" x14ac:dyDescent="0.2">
      <c r="A454" t="str">
        <f>IF(Test_Bible!B183="","F","O")</f>
        <v>O</v>
      </c>
      <c r="B454" s="1700" t="str">
        <f>'Cpts AR +indép + Sommaire'!G70</f>
        <v>Rôle actif de l'enfant</v>
      </c>
      <c r="C454" s="379" t="str">
        <f>'Cpts AR +indép + Sommaire'!C70</f>
        <v>PFA11</v>
      </c>
      <c r="D454" s="25" t="str">
        <f>'Cpts AR +indép + Sommaire'!D70</f>
        <v xml:space="preserve">L'autre parent est d'avis que votre enfant est assez mature pour choisir où il doit vivre et avec quel parent.  </v>
      </c>
      <c r="E454" s="78" t="s">
        <v>662</v>
      </c>
      <c r="F454" s="709">
        <f>'Cpts AR +indép + Sommaire'!E70</f>
        <v>10</v>
      </c>
      <c r="G454" s="709">
        <f>'Cpts AR +indép + Sommaire'!F70</f>
        <v>3</v>
      </c>
      <c r="H454" s="709">
        <f>F454*G454</f>
        <v>30</v>
      </c>
      <c r="I454" s="1350">
        <v>7</v>
      </c>
      <c r="J454" s="1343">
        <v>10</v>
      </c>
      <c r="K454" s="31" t="b">
        <f>IF(AND(F454&gt;=I454,F454&lt;=J454),TRUE,FALSE)</f>
        <v>1</v>
      </c>
      <c r="L454" s="31"/>
      <c r="M454" s="31"/>
      <c r="N454" s="31"/>
      <c r="O454" s="1351"/>
      <c r="P454" s="1374">
        <v>11</v>
      </c>
      <c r="Q454" s="1375">
        <v>11</v>
      </c>
      <c r="R454" s="1351" t="b">
        <f>IF(AND(F454&gt;=P454,F454&lt;=Q454),TRUE,FALSE)</f>
        <v>0</v>
      </c>
      <c r="S454" s="1374">
        <v>11</v>
      </c>
      <c r="T454" s="1375">
        <v>11</v>
      </c>
      <c r="U454" s="1351" t="b">
        <f>IF(AND(F454&gt;=S454,F454&lt;=T454),TRUE,FALSE)</f>
        <v>0</v>
      </c>
      <c r="V454" s="807"/>
      <c r="W454" s="819"/>
      <c r="X454" s="820"/>
      <c r="Y454" s="819"/>
      <c r="Z454" s="820"/>
      <c r="AA454" s="819"/>
      <c r="AB454" s="820"/>
      <c r="AD454" s="10"/>
      <c r="AE454" s="10"/>
      <c r="AF454" s="10"/>
      <c r="AG454" s="832">
        <f>IF($K454=TRUE,H454,0)</f>
        <v>30</v>
      </c>
      <c r="AH454" s="832">
        <f>IF($R454=TRUE,H454,0)</f>
        <v>0</v>
      </c>
      <c r="AI454" s="832">
        <f>IF($U454=TRUE,H454,0)</f>
        <v>0</v>
      </c>
      <c r="AJ454" s="1490">
        <f t="shared" ref="AJ454:AJ455" si="920">IF(OR(I454=11,A454="F"),0,G454*I454)</f>
        <v>21</v>
      </c>
      <c r="AK454" s="1490">
        <f t="shared" ref="AK454:AK455" si="921">IF(OR(J454=11,A454="F"),0,G454*J454)</f>
        <v>30</v>
      </c>
      <c r="AL454" s="1490">
        <f t="shared" ref="AL454:AL455" si="922">IF(OR(P454=11,A454="F"),0,G454*P454)</f>
        <v>0</v>
      </c>
      <c r="AM454" s="1490">
        <f t="shared" ref="AM454:AM455" si="923">IF(OR(Q454=11,A454="F"),0,G454*Q454)</f>
        <v>0</v>
      </c>
      <c r="AN454" s="1490">
        <f t="shared" ref="AN454:AN455" si="924">IF(OR(S454=11,A454="F"),0,S454*G454)</f>
        <v>0</v>
      </c>
      <c r="AO454" s="1490">
        <f t="shared" ref="AO454:AO455" si="925">IF(OR(T454=11,A454="F"),0,T454*G454)</f>
        <v>0</v>
      </c>
      <c r="AY454" s="734"/>
      <c r="AZ454" s="734"/>
      <c r="BA454" s="87"/>
      <c r="BB454" s="442"/>
      <c r="BC454" s="89"/>
      <c r="BD454" s="446"/>
      <c r="BE454" s="446"/>
      <c r="BF454" s="89"/>
      <c r="BG454" s="447"/>
      <c r="BH454" s="447"/>
      <c r="BI454" s="443"/>
    </row>
    <row r="455" spans="1:78" ht="51" x14ac:dyDescent="0.2">
      <c r="A455" t="str">
        <f>IF(Test_Bible!B220="","F","O")</f>
        <v>F</v>
      </c>
      <c r="B455" s="1700" t="str">
        <f>'Cpts AR +indép + Sommaire'!G71</f>
        <v>Interférence lien affectif ou symbolique</v>
      </c>
      <c r="C455" s="379" t="str">
        <f>'Cpts AR +indép + Sommaire'!C71</f>
        <v>PFA39</v>
      </c>
      <c r="D455" s="25" t="str">
        <f>'Cpts AR +indép + Sommaire'!D71</f>
        <v xml:space="preserve">Dans quelle mesure est-ce que l'autre parent se dit impuissant et non responsable de la décision de votre enfant de ne plus respecter l'entente de garde ? </v>
      </c>
      <c r="E455" s="78" t="s">
        <v>663</v>
      </c>
      <c r="F455" s="709">
        <f>'Cpts AR +indép + Sommaire'!E71</f>
        <v>0</v>
      </c>
      <c r="G455" s="709">
        <f>'Cpts AR +indép + Sommaire'!F71</f>
        <v>3</v>
      </c>
      <c r="H455" s="709">
        <f>F455*G455</f>
        <v>0</v>
      </c>
      <c r="I455" s="1350">
        <v>4</v>
      </c>
      <c r="J455" s="1343">
        <v>10</v>
      </c>
      <c r="K455" s="31" t="b">
        <f>IF(AND(F455&gt;=I455,F455&lt;=J455),TRUE,FALSE)</f>
        <v>0</v>
      </c>
      <c r="L455" s="31"/>
      <c r="M455" s="31"/>
      <c r="N455" s="31"/>
      <c r="O455" s="1351"/>
      <c r="P455" s="1374">
        <v>11</v>
      </c>
      <c r="Q455" s="1375">
        <v>11</v>
      </c>
      <c r="R455" s="1351" t="b">
        <f>IF(AND(F455&gt;=P455,F455&lt;=Q455),TRUE,FALSE)</f>
        <v>0</v>
      </c>
      <c r="S455" s="1374">
        <v>11</v>
      </c>
      <c r="T455" s="1375">
        <v>11</v>
      </c>
      <c r="U455" s="1351" t="b">
        <f>IF(AND(F455&gt;=S455,F455&lt;=T455),TRUE,FALSE)</f>
        <v>0</v>
      </c>
      <c r="V455" s="807"/>
      <c r="W455" s="821"/>
      <c r="X455" s="822"/>
      <c r="Y455" s="821"/>
      <c r="Z455" s="822"/>
      <c r="AA455" s="821"/>
      <c r="AB455" s="822"/>
      <c r="AD455" s="10"/>
      <c r="AE455" s="10"/>
      <c r="AF455" s="10"/>
      <c r="AG455" s="832">
        <f>IF($K455=TRUE,H455,0)</f>
        <v>0</v>
      </c>
      <c r="AH455" s="832">
        <f>IF($R455=TRUE,H455,0)</f>
        <v>0</v>
      </c>
      <c r="AI455" s="832">
        <f>IF($U455=TRUE,H455,0)</f>
        <v>0</v>
      </c>
      <c r="AJ455" s="1490">
        <f t="shared" si="920"/>
        <v>0</v>
      </c>
      <c r="AK455" s="1490">
        <f t="shared" si="921"/>
        <v>0</v>
      </c>
      <c r="AL455" s="1490">
        <f t="shared" si="922"/>
        <v>0</v>
      </c>
      <c r="AM455" s="1490">
        <f t="shared" si="923"/>
        <v>0</v>
      </c>
      <c r="AN455" s="1490">
        <f t="shared" si="924"/>
        <v>0</v>
      </c>
      <c r="AO455" s="1490">
        <f t="shared" si="925"/>
        <v>0</v>
      </c>
      <c r="AY455" s="734"/>
      <c r="AZ455" s="734"/>
      <c r="BA455" s="87"/>
      <c r="BB455" s="442"/>
      <c r="BC455" s="89"/>
      <c r="BD455" s="446"/>
      <c r="BE455" s="446"/>
      <c r="BF455" s="89"/>
      <c r="BG455" s="447"/>
      <c r="BH455" s="447"/>
      <c r="BI455" s="443"/>
    </row>
    <row r="456" spans="1:78" ht="34" x14ac:dyDescent="0.2">
      <c r="B456" s="1700"/>
      <c r="C456" s="710" t="s">
        <v>609</v>
      </c>
      <c r="D456" s="711" t="str">
        <f>_xlfn.XLOOKUP(H456,H454:H455,D454:D455)</f>
        <v xml:space="preserve">L'autre parent est d'avis que votre enfant est assez mature pour choisir où il doit vivre et avec quel parent.  </v>
      </c>
      <c r="E456" s="712" t="str">
        <f>_xlfn.XLOOKUP(H456,H454:H455,E454:E455)</f>
        <v>demande à l'enfant avec qui il veut vivre</v>
      </c>
      <c r="F456" s="713"/>
      <c r="G456" s="713"/>
      <c r="H456" s="713">
        <f>IF(AND(K454=TRUE,K455=FALSE),H454,IF(AND(K454=FALSE,K455=TRUE),H455,MAX(H454,H455)))</f>
        <v>30</v>
      </c>
      <c r="I456" s="1352"/>
      <c r="J456" s="714"/>
      <c r="K456" s="715" t="b">
        <f>IF(AND(K454=FALSE,K455=FALSE),FALSE,TRUE)</f>
        <v>1</v>
      </c>
      <c r="L456" s="31"/>
      <c r="M456" s="31"/>
      <c r="N456" s="31"/>
      <c r="O456" s="1351"/>
      <c r="P456" s="1352"/>
      <c r="Q456" s="714"/>
      <c r="R456" s="1365" t="b">
        <f>IF(AND(R454=FALSE,R455=FALSE),FALSE,TRUE)</f>
        <v>0</v>
      </c>
      <c r="S456" s="1352"/>
      <c r="T456" s="714"/>
      <c r="U456" s="1365" t="b">
        <f>IF(AND(U454=FALSE,U455=FALSE),FALSE,TRUE)</f>
        <v>0</v>
      </c>
      <c r="V456" s="807"/>
      <c r="W456" s="821"/>
      <c r="X456" s="822"/>
      <c r="Y456" s="821"/>
      <c r="Z456" s="822"/>
      <c r="AA456" s="821"/>
      <c r="AB456" s="822"/>
      <c r="AD456" s="10"/>
      <c r="AE456" s="10"/>
      <c r="AF456" s="10"/>
      <c r="AG456" s="1740">
        <f>IF($K456=TRUE,MAX(AG454:AG455),0)</f>
        <v>30</v>
      </c>
      <c r="AH456" s="1740">
        <f>IF($R456=TRUE,MAX(AH454:AH455),0)</f>
        <v>0</v>
      </c>
      <c r="AI456" s="1740">
        <f>IF($U456=TRUE,MAX(AI454:AI455),0)</f>
        <v>0</v>
      </c>
      <c r="AJ456" s="1739">
        <f>MAX(AJ454:AJ455)</f>
        <v>21</v>
      </c>
      <c r="AK456" s="1739">
        <f t="shared" ref="AK456" si="926">MAX(AK454:AK455)</f>
        <v>30</v>
      </c>
      <c r="AL456" s="1739">
        <f t="shared" ref="AL456" si="927">MAX(AL454:AL455)</f>
        <v>0</v>
      </c>
      <c r="AM456" s="1739">
        <f t="shared" ref="AM456" si="928">MAX(AM454:AM455)</f>
        <v>0</v>
      </c>
      <c r="AN456" s="1739">
        <f t="shared" ref="AN456" si="929">MAX(AN454:AN455)</f>
        <v>0</v>
      </c>
      <c r="AO456" s="1739">
        <f t="shared" ref="AO456" si="930">MAX(AO454:AO455)</f>
        <v>0</v>
      </c>
      <c r="AY456" s="734"/>
      <c r="AZ456" s="734"/>
      <c r="BA456" s="87"/>
      <c r="BB456" s="442"/>
      <c r="BC456" s="89"/>
      <c r="BD456" s="446"/>
      <c r="BE456" s="446"/>
      <c r="BF456" s="89"/>
      <c r="BG456" s="447"/>
      <c r="BH456" s="447"/>
      <c r="BI456" s="443"/>
    </row>
    <row r="457" spans="1:78" ht="19" x14ac:dyDescent="0.2">
      <c r="B457" s="1700"/>
      <c r="C457" s="38" t="s">
        <v>242</v>
      </c>
      <c r="D457" s="25"/>
      <c r="E457" s="78"/>
      <c r="F457" s="709"/>
      <c r="G457" s="708"/>
      <c r="H457" s="709">
        <f>F457*G457</f>
        <v>0</v>
      </c>
      <c r="I457" s="1374">
        <v>11</v>
      </c>
      <c r="J457" s="1375">
        <v>11</v>
      </c>
      <c r="K457" s="31" t="b">
        <f>IF(AND(F457&gt;=I457,F457&lt;=J457),TRUE,FALSE)</f>
        <v>0</v>
      </c>
      <c r="L457" s="31"/>
      <c r="M457" s="31"/>
      <c r="N457" s="31"/>
      <c r="O457" s="1351"/>
      <c r="P457" s="1374">
        <v>11</v>
      </c>
      <c r="Q457" s="1375">
        <v>11</v>
      </c>
      <c r="R457" s="1351" t="b">
        <f>IF(AND(F457&gt;=P457,F457&lt;=Q457),TRUE,FALSE)</f>
        <v>0</v>
      </c>
      <c r="S457" s="1374">
        <v>11</v>
      </c>
      <c r="T457" s="1375">
        <v>11</v>
      </c>
      <c r="U457" s="1351" t="b">
        <f>IF(AND(F457&gt;=S457,F457&lt;=T457),TRUE,FALSE)</f>
        <v>0</v>
      </c>
      <c r="V457" s="807"/>
      <c r="W457" s="821"/>
      <c r="X457" s="822"/>
      <c r="Y457" s="821"/>
      <c r="Z457" s="822"/>
      <c r="AA457" s="821"/>
      <c r="AB457" s="822"/>
      <c r="AD457" s="10"/>
      <c r="AE457" s="10"/>
      <c r="AF457" s="10"/>
      <c r="AG457" s="832">
        <f>IF(K457=TRUE,H457,0)</f>
        <v>0</v>
      </c>
      <c r="AH457" s="832">
        <f>IF(R457=TRUE,H457,0)</f>
        <v>0</v>
      </c>
      <c r="AI457" s="832">
        <f>IF(U457=TRUE,H457,0)</f>
        <v>0</v>
      </c>
      <c r="AJ457" s="1490">
        <f t="shared" ref="AJ457:AJ458" si="931">IF(OR(I457=11,A457="F"),0,G457*I457)</f>
        <v>0</v>
      </c>
      <c r="AK457" s="1490">
        <f t="shared" ref="AK457:AK458" si="932">IF(OR(J457=11,A457="F"),0,G457*J457)</f>
        <v>0</v>
      </c>
      <c r="AL457" s="1490">
        <f t="shared" ref="AL457:AL458" si="933">IF(OR(P457=11,A457="F"),0,G457*P457)</f>
        <v>0</v>
      </c>
      <c r="AM457" s="1490">
        <f t="shared" ref="AM457:AM458" si="934">IF(OR(Q457=11,A457="F"),0,G457*Q457)</f>
        <v>0</v>
      </c>
      <c r="AN457" s="1490">
        <f t="shared" ref="AN457:AN458" si="935">IF(OR(S457=11,A457="F"),0,S457*G457)</f>
        <v>0</v>
      </c>
      <c r="AO457" s="1490">
        <f t="shared" ref="AO457:AO458" si="936">IF(OR(T457=11,A457="F"),0,T457*G457)</f>
        <v>0</v>
      </c>
      <c r="AY457" s="734"/>
      <c r="AZ457" s="734"/>
      <c r="BA457" s="87"/>
      <c r="BB457" s="442"/>
      <c r="BC457" s="89"/>
      <c r="BD457" s="446"/>
      <c r="BE457" s="446"/>
      <c r="BF457" s="89"/>
      <c r="BG457" s="447"/>
      <c r="BH457" s="447"/>
      <c r="BI457" s="443"/>
    </row>
    <row r="458" spans="1:78" ht="19" x14ac:dyDescent="0.2">
      <c r="B458" s="1700"/>
      <c r="C458" s="38" t="s">
        <v>242</v>
      </c>
      <c r="D458" s="25"/>
      <c r="E458" s="48"/>
      <c r="F458" s="27"/>
      <c r="G458" s="27"/>
      <c r="H458" s="27">
        <f>F458*G458</f>
        <v>0</v>
      </c>
      <c r="I458" s="1374">
        <v>11</v>
      </c>
      <c r="J458" s="1375">
        <v>11</v>
      </c>
      <c r="K458" s="31" t="b">
        <f>IF(AND(F458&gt;=I458,F458&lt;=J458),TRUE,FALSE)</f>
        <v>0</v>
      </c>
      <c r="L458" s="31"/>
      <c r="M458" s="31"/>
      <c r="N458" s="31"/>
      <c r="O458" s="1351"/>
      <c r="P458" s="1374">
        <v>11</v>
      </c>
      <c r="Q458" s="1375">
        <v>11</v>
      </c>
      <c r="R458" s="1351" t="b">
        <f>IF(AND(F458&gt;=P458,F458&lt;=Q458),TRUE,FALSE)</f>
        <v>0</v>
      </c>
      <c r="S458" s="1374">
        <v>11</v>
      </c>
      <c r="T458" s="1375">
        <v>11</v>
      </c>
      <c r="U458" s="1351" t="b">
        <f>IF(AND(F458&gt;=S458,F458&lt;=T458),TRUE,FALSE)</f>
        <v>0</v>
      </c>
      <c r="V458" s="807"/>
      <c r="W458" s="821"/>
      <c r="X458" s="822"/>
      <c r="Y458" s="821"/>
      <c r="Z458" s="822"/>
      <c r="AA458" s="821"/>
      <c r="AB458" s="822"/>
      <c r="AD458" s="10"/>
      <c r="AE458" s="10"/>
      <c r="AF458" s="10"/>
      <c r="AG458" s="832">
        <f>IF(K458=TRUE,H458,0)</f>
        <v>0</v>
      </c>
      <c r="AH458" s="832">
        <f>IF(R458=TRUE,H458,0)</f>
        <v>0</v>
      </c>
      <c r="AI458" s="832">
        <f>IF(U458=TRUE,H458,0)</f>
        <v>0</v>
      </c>
      <c r="AJ458" s="1490">
        <f t="shared" si="931"/>
        <v>0</v>
      </c>
      <c r="AK458" s="1490">
        <f t="shared" si="932"/>
        <v>0</v>
      </c>
      <c r="AL458" s="1490">
        <f t="shared" si="933"/>
        <v>0</v>
      </c>
      <c r="AM458" s="1490">
        <f t="shared" si="934"/>
        <v>0</v>
      </c>
      <c r="AN458" s="1490">
        <f t="shared" si="935"/>
        <v>0</v>
      </c>
      <c r="AO458" s="1490">
        <f t="shared" si="936"/>
        <v>0</v>
      </c>
      <c r="AV458" s="7"/>
      <c r="AX458" s="7"/>
      <c r="AY458" s="734"/>
      <c r="AZ458" s="734"/>
      <c r="BA458" s="87"/>
      <c r="BB458" s="442"/>
      <c r="BC458" s="89"/>
      <c r="BD458" s="446"/>
      <c r="BE458" s="446"/>
      <c r="BF458" s="89"/>
      <c r="BG458" s="447"/>
      <c r="BH458" s="447"/>
      <c r="BI458" s="443"/>
      <c r="BN458" s="25"/>
      <c r="BP458" s="7"/>
      <c r="BQ458" s="7"/>
      <c r="BR458" s="7"/>
      <c r="BS458" s="7"/>
      <c r="BT458" s="7"/>
      <c r="BU458" s="7"/>
      <c r="BV458" s="7"/>
      <c r="BW458" s="7"/>
      <c r="BX458" s="7"/>
      <c r="BY458" s="7"/>
      <c r="BZ458" s="7"/>
    </row>
    <row r="459" spans="1:78" ht="20" thickBot="1" x14ac:dyDescent="0.25">
      <c r="B459" s="1700"/>
      <c r="C459" s="716" t="s">
        <v>610</v>
      </c>
      <c r="D459" s="717">
        <f>_xlfn.XLOOKUP(H459,H457:H458,D457:D458)</f>
        <v>0</v>
      </c>
      <c r="E459" s="718">
        <f>_xlfn.XLOOKUP(H459,H457:H458,E457:E458)</f>
        <v>0</v>
      </c>
      <c r="F459" s="719"/>
      <c r="G459" s="719"/>
      <c r="H459" s="713">
        <f>IF(AND(K457=TRUE,K458=FALSE),H457,IF(AND(K457=FALSE,K458=TRUE),H458,MAX(H457,H458)))</f>
        <v>0</v>
      </c>
      <c r="I459" s="1353"/>
      <c r="J459" s="720"/>
      <c r="K459" s="721" t="b">
        <f>IF(AND(K457=FALSE,K458=FALSE),FALSE,TRUE)</f>
        <v>0</v>
      </c>
      <c r="L459" s="31"/>
      <c r="M459" s="31"/>
      <c r="N459" s="31"/>
      <c r="O459" s="1351"/>
      <c r="P459" s="1353"/>
      <c r="Q459" s="720"/>
      <c r="R459" s="1366" t="b">
        <f>IF(AND(R457=FALSE,R458=FALSE),FALSE,TRUE)</f>
        <v>0</v>
      </c>
      <c r="S459" s="1353"/>
      <c r="T459" s="720"/>
      <c r="U459" s="1366" t="b">
        <f>IF(AND(U457=FALSE,U458=FALSE),FALSE,TRUE)</f>
        <v>0</v>
      </c>
      <c r="V459" s="807"/>
      <c r="W459" s="821"/>
      <c r="X459" s="822"/>
      <c r="Y459" s="821"/>
      <c r="Z459" s="822"/>
      <c r="AA459" s="821"/>
      <c r="AB459" s="822"/>
      <c r="AD459" s="10"/>
      <c r="AE459" s="10"/>
      <c r="AF459" s="10"/>
      <c r="AG459" s="1740">
        <f>IF($K459=TRUE,MAX(AG457:AG458),0)</f>
        <v>0</v>
      </c>
      <c r="AH459" s="1740">
        <f>IF($R459=TRUE,MAX(AH457:AH458),0)</f>
        <v>0</v>
      </c>
      <c r="AI459" s="1740">
        <f>IF($U459=TRUE,MAX(AI457:AI458),0)</f>
        <v>0</v>
      </c>
      <c r="AJ459" s="1739">
        <f>MAX(AJ457:AJ458)</f>
        <v>0</v>
      </c>
      <c r="AK459" s="1739">
        <f t="shared" ref="AK459" si="937">MAX(AK457:AK458)</f>
        <v>0</v>
      </c>
      <c r="AL459" s="1739">
        <f t="shared" ref="AL459" si="938">MAX(AL457:AL458)</f>
        <v>0</v>
      </c>
      <c r="AM459" s="1739">
        <f t="shared" ref="AM459" si="939">MAX(AM457:AM458)</f>
        <v>0</v>
      </c>
      <c r="AN459" s="1739">
        <f t="shared" ref="AN459" si="940">MAX(AN457:AN458)</f>
        <v>0</v>
      </c>
      <c r="AO459" s="1739">
        <f t="shared" ref="AO459" si="941">MAX(AO457:AO458)</f>
        <v>0</v>
      </c>
      <c r="AV459" s="7"/>
      <c r="AX459" s="7"/>
      <c r="AY459" s="734"/>
      <c r="AZ459" s="734"/>
      <c r="BA459" s="87"/>
      <c r="BB459" s="442"/>
      <c r="BC459" s="89"/>
      <c r="BD459" s="446"/>
      <c r="BE459" s="446"/>
      <c r="BF459" s="89"/>
      <c r="BG459" s="447"/>
      <c r="BH459" s="447"/>
      <c r="BI459" s="443"/>
      <c r="BN459" s="25"/>
      <c r="BP459" s="7"/>
      <c r="BQ459" s="7"/>
      <c r="BR459" s="7"/>
      <c r="BS459" s="7"/>
      <c r="BT459" s="7"/>
      <c r="BU459" s="7"/>
      <c r="BV459" s="7"/>
      <c r="BW459" s="7"/>
      <c r="BX459" s="7"/>
      <c r="BY459" s="7"/>
      <c r="BZ459" s="7"/>
    </row>
    <row r="460" spans="1:78" ht="35" thickBot="1" x14ac:dyDescent="0.25">
      <c r="B460" s="1700"/>
      <c r="C460" s="722" t="s">
        <v>616</v>
      </c>
      <c r="D460" s="723"/>
      <c r="E460" s="723" t="str">
        <f>IF(H460=H456,E456,E459)</f>
        <v>demande à l'enfant avec qui il veut vivre</v>
      </c>
      <c r="F460" s="724"/>
      <c r="G460" s="724"/>
      <c r="H460" s="724">
        <f>IF(AND(K456=TRUE,K459=FALSE),H456,IF(AND(K456=FALSE,K459=TRUE),H459,IF(AND(K456=TRUE,K459=TRUE),H456+H459,MAX(H456,H459))))</f>
        <v>30</v>
      </c>
      <c r="I460" s="1354"/>
      <c r="J460" s="725"/>
      <c r="K460" s="726" t="b">
        <f>IF(AND(K456=FALSE,K459=FALSE),FALSE,TRUE)</f>
        <v>1</v>
      </c>
      <c r="L460" s="1338"/>
      <c r="M460" s="1338"/>
      <c r="N460" s="1338"/>
      <c r="O460" s="1355"/>
      <c r="P460" s="1354"/>
      <c r="Q460" s="725"/>
      <c r="R460" s="726" t="b">
        <f>IF(AND(R456=FALSE,R459=FALSE),FALSE,TRUE)</f>
        <v>0</v>
      </c>
      <c r="S460" s="1354"/>
      <c r="T460" s="725"/>
      <c r="U460" s="726" t="b">
        <f>IF(AND(U456=FALSE,U459=FALSE),FALSE,TRUE)</f>
        <v>0</v>
      </c>
      <c r="V460" s="807"/>
      <c r="W460" s="821" t="str">
        <f>IF(K460=TRUE,"V","F")</f>
        <v>V</v>
      </c>
      <c r="X460" s="822"/>
      <c r="Y460" s="821" t="str">
        <f>IF(R460=TRUE,"V","F")</f>
        <v>F</v>
      </c>
      <c r="Z460" s="822"/>
      <c r="AA460" s="821" t="str">
        <f>IF(U460=TRUE,"V","F")</f>
        <v>F</v>
      </c>
      <c r="AB460" s="822"/>
      <c r="AC460" t="str">
        <f>IF(OR(W460="V",Y460="V"),IF(H459&gt;H456,"Le NC contribue plus que le coparent","Le coparent joue un plus grand rôle que le NC"),"pas de contexte significatif de la part du coparent et NC")</f>
        <v>Le coparent joue un plus grand rôle que le NC</v>
      </c>
      <c r="AD460" s="10"/>
      <c r="AE460" s="10"/>
      <c r="AF460" s="10"/>
      <c r="AG460" s="591">
        <f>IF(AND($K456=TRUE,$K459=FALSE),AG456,IF(AND($K456=FALSE,$K459=TRUE),AG459,IF(AND($K456=TRUE,$K459=TRUE),AG456+AG459,0)))</f>
        <v>30</v>
      </c>
      <c r="AH460" s="591">
        <f>IF(AND($R456=TRUE,$R459=FALSE),AH456,IF(AND($R456=FALSE,$R459=TRUE),AH459,IF(AND($R456=TRUE,$R459=TRUE),AH456+AH459,0)))</f>
        <v>0</v>
      </c>
      <c r="AI460" s="591">
        <f>IF(AND($U456=TRUE,$U459=FALSE),AI456,IF(AND($U456=FALSE,$U459=TRUE),AI459,IF(AND($U456=TRUE,$U459=TRUE),AI456+AI459,0)))</f>
        <v>0</v>
      </c>
      <c r="AJ460" s="591">
        <f>IF(AND($K456=TRUE,$K459=FALSE),AJ456,IF(AND($K456=FALSE,$K459=TRUE),AJ459,IF(AND($K456=TRUE,$K459=TRUE),AJ456+AJ459,MAX(AJ456,AJ459))))</f>
        <v>21</v>
      </c>
      <c r="AK460" s="591">
        <f>IF(AND($K456=TRUE,$K459=FALSE),AK456,IF(AND($K456=FALSE,$K459=TRUE),AK459,IF(AND($K456=TRUE,$K459=TRUE),AK456+AK459,MAX(AK456,AK459))))</f>
        <v>30</v>
      </c>
      <c r="AL460" s="591">
        <f t="shared" ref="AL460" si="942">IF(AND($R456=TRUE,$R459=FALSE),AL456,IF(AND($R456=FALSE,$R459=TRUE),AL459,IF(AND($R456=TRUE,$R459=TRUE),AL456+AL459,MAX(AL456,AL459))))</f>
        <v>0</v>
      </c>
      <c r="AM460" s="591">
        <f t="shared" ref="AM460" si="943">IF(AND($R456=TRUE,$R459=FALSE),AM456,IF(AND($R456=FALSE,$R459=TRUE),AM459,IF(AND($R456=TRUE,$R459=TRUE),AM456+AM459,MAX(AM456,AM459))))</f>
        <v>0</v>
      </c>
      <c r="AN460" s="591">
        <f t="shared" ref="AN460" si="944">IF(AND($U456=TRUE,$U459=FALSE),AN456,IF(AND($U456=FALSE,$U459=TRUE),AN459,IF(AND($U456=TRUE,$U459=TRUE),AN456+AN459,MAX(AN456,AN459))))</f>
        <v>0</v>
      </c>
      <c r="AO460" s="591">
        <f t="shared" ref="AO460" si="945">IF(AND($U456=TRUE,$U459=FALSE),AO456,IF(AND($U456=FALSE,$U459=TRUE),AO459,IF(AND($U456=TRUE,$U459=TRUE),AO456+AO459,MAX(AO456,AO459))))</f>
        <v>0</v>
      </c>
      <c r="AV460" s="7"/>
      <c r="AX460" s="7"/>
      <c r="AY460" s="734"/>
      <c r="AZ460" s="734"/>
      <c r="BA460" s="87"/>
      <c r="BB460" s="442"/>
      <c r="BC460" s="89"/>
      <c r="BD460" s="446"/>
      <c r="BE460" s="446"/>
      <c r="BF460" s="89"/>
      <c r="BG460" s="447"/>
      <c r="BH460" s="447"/>
      <c r="BI460" s="443"/>
      <c r="BN460" s="25"/>
      <c r="BP460" s="7"/>
      <c r="BQ460" s="7"/>
      <c r="BR460" s="7"/>
      <c r="BS460" s="7"/>
      <c r="BT460" s="7"/>
      <c r="BU460" s="7"/>
      <c r="BV460" s="7"/>
      <c r="BW460" s="7"/>
      <c r="BX460" s="7"/>
      <c r="BY460" s="7"/>
      <c r="BZ460" s="7"/>
    </row>
    <row r="461" spans="1:78" ht="34" x14ac:dyDescent="0.2">
      <c r="A461" t="str">
        <f>IF(Test_Bible!B328="","F","O")</f>
        <v>F</v>
      </c>
      <c r="B461" s="1700" t="str">
        <f>'Cpts AR +indép + Sommaire'!S73</f>
        <v>Rôle actif de l'enfant</v>
      </c>
      <c r="C461" s="287" t="str">
        <f>'Cpts AR +indép + Sommaire'!O70</f>
        <v>E33b</v>
      </c>
      <c r="D461" s="25" t="str">
        <f>'Cpts AR +indép + Sommaire'!P70</f>
        <v xml:space="preserve">Votre enfant vous informe qu’à 12 ou 14 ans, le droit de choisir les modalités de garde lui reviendrait. </v>
      </c>
      <c r="E461" s="78" t="s">
        <v>664</v>
      </c>
      <c r="F461" s="709">
        <f>'Cpts AR +indép + Sommaire'!Q70</f>
        <v>0</v>
      </c>
      <c r="G461" s="709">
        <f>'Cpts AR +indép + Sommaire'!R70</f>
        <v>3</v>
      </c>
      <c r="H461" s="709">
        <f>F461*G461</f>
        <v>0</v>
      </c>
      <c r="I461" s="1350">
        <v>2</v>
      </c>
      <c r="J461" s="1343">
        <v>10</v>
      </c>
      <c r="K461" s="31" t="b">
        <f>IF(AND(F461&gt;=I461,F461&lt;=J461),TRUE,FALSE)</f>
        <v>0</v>
      </c>
      <c r="L461" s="31"/>
      <c r="M461" s="31"/>
      <c r="N461" s="31"/>
      <c r="O461" s="1351"/>
      <c r="P461" s="1350">
        <v>2</v>
      </c>
      <c r="Q461" s="1343">
        <v>7</v>
      </c>
      <c r="R461" s="1351" t="b">
        <f>IF(AND(F461&gt;=P461,F461&lt;=Q461),TRUE,FALSE)</f>
        <v>0</v>
      </c>
      <c r="S461" s="1350"/>
      <c r="T461" s="1343"/>
      <c r="U461" s="1351"/>
      <c r="V461" s="807"/>
      <c r="W461" s="821" t="s">
        <v>753</v>
      </c>
      <c r="X461" s="822"/>
      <c r="Y461" s="821"/>
      <c r="Z461" s="822"/>
      <c r="AA461" s="821"/>
      <c r="AB461" s="822"/>
      <c r="AD461" s="10"/>
      <c r="AE461" s="10"/>
      <c r="AF461" s="10"/>
      <c r="AG461" s="832">
        <f>IF($K461=TRUE,H461,0)</f>
        <v>0</v>
      </c>
      <c r="AH461" s="832">
        <f>IF($R461=TRUE,H461,0)</f>
        <v>0</v>
      </c>
      <c r="AI461" s="832"/>
      <c r="AJ461" s="1490">
        <f t="shared" ref="AJ461:AJ462" si="946">IF(OR(I461=11,A461="F"),0,G461*I461)</f>
        <v>0</v>
      </c>
      <c r="AK461" s="1490">
        <f t="shared" ref="AK461:AK462" si="947">IF(OR(J461=11,A461="F"),0,G461*J461)</f>
        <v>0</v>
      </c>
      <c r="AL461" s="1490">
        <f t="shared" ref="AL461:AL462" si="948">IF(OR(P461=11,A461="F"),0,G461*P461)</f>
        <v>0</v>
      </c>
      <c r="AM461" s="1490">
        <f t="shared" ref="AM461:AM462" si="949">IF(OR(Q461=11,A461="F"),0,G461*Q461)</f>
        <v>0</v>
      </c>
      <c r="AN461" s="1490">
        <f t="shared" ref="AN461:AN462" si="950">IF(OR(S461=11,A461="F"),0,S461*G461)</f>
        <v>0</v>
      </c>
      <c r="AO461" s="1490">
        <f t="shared" ref="AO461:AO462" si="951">IF(OR(T461=11,A461="F"),0,T461*G461)</f>
        <v>0</v>
      </c>
      <c r="AV461" s="7"/>
      <c r="AX461" s="7"/>
      <c r="AY461" s="734"/>
      <c r="AZ461" s="734"/>
      <c r="BA461" s="87"/>
      <c r="BB461" s="442"/>
      <c r="BC461" s="89"/>
      <c r="BD461" s="446"/>
      <c r="BE461" s="446"/>
      <c r="BF461" s="89"/>
      <c r="BG461" s="447"/>
      <c r="BH461" s="447"/>
      <c r="BI461" s="443"/>
      <c r="BN461" s="25"/>
      <c r="BP461" s="7"/>
      <c r="BQ461" s="7"/>
      <c r="BR461" s="7"/>
      <c r="BS461" s="7"/>
      <c r="BT461" s="7"/>
      <c r="BU461" s="7"/>
      <c r="BV461" s="7"/>
      <c r="BW461" s="7"/>
      <c r="BX461" s="7"/>
      <c r="BY461" s="7"/>
      <c r="BZ461" s="7"/>
    </row>
    <row r="462" spans="1:78" ht="20" thickBot="1" x14ac:dyDescent="0.25">
      <c r="B462" s="1700"/>
      <c r="C462" s="287" t="s">
        <v>272</v>
      </c>
      <c r="D462" s="25"/>
      <c r="E462" s="78"/>
      <c r="F462" s="709"/>
      <c r="G462" s="708"/>
      <c r="H462" s="709">
        <f>F462*G462</f>
        <v>0</v>
      </c>
      <c r="I462" s="1374">
        <v>11</v>
      </c>
      <c r="J462" s="1375">
        <v>11</v>
      </c>
      <c r="K462" s="31" t="b">
        <f>IF(AND(F462&gt;=I462,F462&lt;=J462),TRUE,FALSE)</f>
        <v>0</v>
      </c>
      <c r="L462" s="31"/>
      <c r="M462" s="31"/>
      <c r="N462" s="31"/>
      <c r="O462" s="1351"/>
      <c r="P462" s="1374">
        <v>11</v>
      </c>
      <c r="Q462" s="1375">
        <v>11</v>
      </c>
      <c r="R462" s="1351" t="b">
        <f>IF(AND(F462&gt;=P462,F462&lt;=Q462),TRUE,FALSE)</f>
        <v>0</v>
      </c>
      <c r="S462" s="1374"/>
      <c r="T462" s="1375"/>
      <c r="U462" s="1351"/>
      <c r="V462" s="807"/>
      <c r="W462" s="821"/>
      <c r="X462" s="822"/>
      <c r="Y462" s="821"/>
      <c r="Z462" s="822"/>
      <c r="AA462" s="821"/>
      <c r="AB462" s="822"/>
      <c r="AD462" s="10"/>
      <c r="AE462" s="10"/>
      <c r="AF462" s="10"/>
      <c r="AG462" s="832">
        <f>IF($K462=TRUE,H462,0)</f>
        <v>0</v>
      </c>
      <c r="AH462" s="832">
        <f>IF($R462=TRUE,H462,0)</f>
        <v>0</v>
      </c>
      <c r="AI462" s="832"/>
      <c r="AJ462" s="1490">
        <f t="shared" si="946"/>
        <v>0</v>
      </c>
      <c r="AK462" s="1490">
        <f t="shared" si="947"/>
        <v>0</v>
      </c>
      <c r="AL462" s="1490">
        <f t="shared" si="948"/>
        <v>0</v>
      </c>
      <c r="AM462" s="1490">
        <f t="shared" si="949"/>
        <v>0</v>
      </c>
      <c r="AN462" s="1490">
        <f t="shared" si="950"/>
        <v>0</v>
      </c>
      <c r="AO462" s="1490">
        <f t="shared" si="951"/>
        <v>0</v>
      </c>
      <c r="AV462" s="7"/>
      <c r="AX462" s="7"/>
      <c r="AY462" s="734"/>
      <c r="AZ462" s="734"/>
      <c r="BA462" s="87"/>
      <c r="BB462" s="442"/>
      <c r="BC462" s="89"/>
      <c r="BD462" s="446"/>
      <c r="BE462" s="446"/>
      <c r="BF462" s="89"/>
      <c r="BG462" s="447"/>
      <c r="BH462" s="447"/>
      <c r="BI462" s="443"/>
      <c r="BN462" s="25"/>
      <c r="BP462" s="7"/>
      <c r="BQ462" s="7"/>
      <c r="BR462" s="7"/>
      <c r="BS462" s="7"/>
      <c r="BT462" s="7"/>
      <c r="BU462" s="7"/>
      <c r="BV462" s="7"/>
      <c r="BW462" s="7"/>
      <c r="BX462" s="7"/>
      <c r="BY462" s="7"/>
      <c r="BZ462" s="7"/>
    </row>
    <row r="463" spans="1:78" ht="35" thickBot="1" x14ac:dyDescent="0.25">
      <c r="B463" s="1700"/>
      <c r="C463" s="727" t="s">
        <v>611</v>
      </c>
      <c r="D463" s="728" t="str">
        <f>_xlfn.XLOOKUP(H463,H461:H462,D461:D462)</f>
        <v xml:space="preserve">Votre enfant vous informe qu’à 12 ou 14 ans, le droit de choisir les modalités de garde lui reviendrait. </v>
      </c>
      <c r="E463" s="728" t="str">
        <f>_xlfn.XLOOKUP(H463,H461:H462,E461:E462)</f>
        <v>réclame le droit de choisir quand et la durée de ses visites chez vous</v>
      </c>
      <c r="F463" s="729"/>
      <c r="G463" s="729"/>
      <c r="H463" s="729">
        <f>IF(AND(K461=TRUE,K462=FALSE),H461,IF(AND(K461=FALSE,K462=TRUE),H462,MAX(H461,H462)))</f>
        <v>0</v>
      </c>
      <c r="I463" s="1356"/>
      <c r="J463" s="730"/>
      <c r="K463" s="731" t="b">
        <f>IF(AND(K461=FALSE,K462=FALSE),FALSE,TRUE)</f>
        <v>0</v>
      </c>
      <c r="L463" s="1339"/>
      <c r="M463" s="1339"/>
      <c r="N463" s="1339"/>
      <c r="O463" s="1357"/>
      <c r="P463" s="1356"/>
      <c r="Q463" s="730"/>
      <c r="R463" s="731" t="b">
        <f>IF(AND(R461=FALSE,R462=FALSE),FALSE,TRUE)</f>
        <v>0</v>
      </c>
      <c r="S463" s="1356"/>
      <c r="T463" s="730"/>
      <c r="U463" s="731"/>
      <c r="V463" s="807"/>
      <c r="W463" s="821" t="str">
        <f>IF(K463=TRUE,"V","F")</f>
        <v>F</v>
      </c>
      <c r="X463" s="822"/>
      <c r="Y463" s="821" t="str">
        <f>IF(R463=TRUE,"V","F")</f>
        <v>F</v>
      </c>
      <c r="Z463" s="822"/>
      <c r="AA463" s="821"/>
      <c r="AB463" s="822"/>
      <c r="AD463" s="10"/>
      <c r="AE463" s="10"/>
      <c r="AF463" s="10"/>
      <c r="AG463" s="1742">
        <f>IF(AND($K461=TRUE,$K462=FALSE),AG461,IF(AND($K461=FALSE,$K462=TRUE),AG462,IF(AND($K461=TRUE,$K462=TRUE),MAX(AG461,AG462),0)))</f>
        <v>0</v>
      </c>
      <c r="AH463" s="1742">
        <f>IF(AND($R461=TRUE,$R462=FALSE),AH461,IF(AND($R461=FALSE,$R462=TRUE),AH462,IF(AND($R461=TRUE,$R462=TRUE),MAX(AH461,AH462),0)))</f>
        <v>0</v>
      </c>
      <c r="AI463" s="1742"/>
      <c r="AJ463" s="1742">
        <f>IF(AND($K461=TRUE,$K462=FALSE),AJ461,IF(AND($K461=FALSE,$K462=TRUE),AJ462,IF(AND($K461=TRUE,$K462=TRUE),MAX(AJ461,AJ462),0)))</f>
        <v>0</v>
      </c>
      <c r="AK463" s="1742">
        <f>IF(AND($K461=TRUE,$K462=FALSE),AK461,IF(AND($K461=FALSE,$K462=TRUE),AK462,IF(AND($K461=TRUE,$K462=TRUE),MAX(AK461,AK462),0)))</f>
        <v>0</v>
      </c>
      <c r="AL463" s="1742">
        <f t="shared" ref="AL463" si="952">IF(AND($R461=TRUE,$R462=FALSE),AL461,IF(AND($R461=FALSE,$R462=TRUE),AL462,IF(AND($R461=TRUE,$R462=TRUE),MAX(AL461,AL462),0)))</f>
        <v>0</v>
      </c>
      <c r="AM463" s="1742">
        <f t="shared" ref="AM463" si="953">IF(AND($R461=TRUE,$R462=FALSE),AM461,IF(AND($R461=FALSE,$R462=TRUE),AM462,IF(AND($R461=TRUE,$R462=TRUE),MAX(AM461,AM462),0)))</f>
        <v>0</v>
      </c>
      <c r="AN463" s="1742"/>
      <c r="AO463" s="1742"/>
      <c r="AY463" s="734"/>
      <c r="AZ463" s="734"/>
      <c r="BA463" s="87"/>
      <c r="BB463" s="442"/>
      <c r="BC463" s="89"/>
      <c r="BD463" s="446"/>
      <c r="BE463" s="446"/>
      <c r="BF463" s="89"/>
      <c r="BG463" s="447"/>
      <c r="BH463" s="447"/>
      <c r="BI463" s="443"/>
    </row>
    <row r="464" spans="1:78" ht="51" x14ac:dyDescent="0.2">
      <c r="B464" s="1700"/>
      <c r="D464" s="386" t="s">
        <v>273</v>
      </c>
      <c r="E464" s="705"/>
      <c r="F464" s="439" t="s">
        <v>349</v>
      </c>
      <c r="G464" s="33"/>
      <c r="H464" s="33">
        <f>IF(AND(K460=TRUE,K463=FALSE),H460,IF(AND(K460=FALSE,K463=TRUE),H463,IF(AND(K460=TRUE,K463=TRUE),H460+H463,MAX(H460,H463))))</f>
        <v>30</v>
      </c>
      <c r="I464" s="1358"/>
      <c r="J464" s="440"/>
      <c r="K464" s="1341"/>
      <c r="L464" s="1342" t="str">
        <f>IF(AND(K463=TRUE,K460=TRUE),E463,"")</f>
        <v/>
      </c>
      <c r="M464" s="1342" t="str">
        <f>IF(AND(K460=TRUE,K463=FALSE),"Bien que le parent "&amp;E460&amp;" l'enfant ne semble pas s'ingérer","")</f>
        <v>Bien que le parent demande à l'enfant avec qui il veut vivre l'enfant ne semble pas s'ingérer</v>
      </c>
      <c r="N464" s="1342" t="str">
        <f>IF(AND(K460=FALSE,K463=TRUE),E463&amp;" sans signe de la participation du parent favorisé et|ou nouveau conjoint.e","")</f>
        <v/>
      </c>
      <c r="O464" s="1359" t="str">
        <f>IF(AND(K460=FALSE,K463=FALSE),"aucun comportement significatif de cette nature","")</f>
        <v/>
      </c>
      <c r="P464" s="1358"/>
      <c r="Q464" s="440"/>
      <c r="R464" s="1367"/>
      <c r="S464" s="1358"/>
      <c r="T464" s="440"/>
      <c r="U464" s="1367"/>
      <c r="V464" s="145"/>
      <c r="W464" s="823"/>
      <c r="X464" s="824">
        <f>IF(AND(W460="V",W463="V"),2,IF(OR(W460="V",W463="V"),1,0))</f>
        <v>1</v>
      </c>
      <c r="Y464" s="823"/>
      <c r="Z464" s="824">
        <f>IF(OR(Y460="V",Y463="V"),1,0)</f>
        <v>0</v>
      </c>
      <c r="AA464" s="823"/>
      <c r="AB464" s="824"/>
      <c r="AD464" s="10"/>
      <c r="AE464" s="10"/>
      <c r="AF464" s="10"/>
      <c r="AG464" s="1738">
        <f>IF(AND($W460="V",$W463="F"),AG460,IF(AND($W460="F",$W463="V"),AG463,IF(AND($W460="V",$W463="V"),AG460+AG463,0)))</f>
        <v>30</v>
      </c>
      <c r="AH464" s="1738">
        <f>IF(AND($Y460="V",$Y463="F"),AH460,IF(AND($Y460="F",$Y463="V"),AH463,IF(AND($Y460="V",$Y463="V"),AH460+AH463,0)))</f>
        <v>0</v>
      </c>
      <c r="AI464" s="1738"/>
      <c r="AJ464" s="1738">
        <f>IF(AND($W460="V",$W463="F"),AJ460,IF(AND($W460="F",$W463="V"),AJ463,IF(AND($W460="V",$W463="V"),AJ460+AJ463,0)))</f>
        <v>21</v>
      </c>
      <c r="AK464" s="1738">
        <f>IF(AND($W460="V",$W463="F"),AK460,IF(AND($W460="F",$W463="V"),AK463,IF(AND($W460="V",$W463="V"),AK460+AK463,0)))</f>
        <v>30</v>
      </c>
      <c r="AL464" s="1738">
        <f>IF(AND($Y460="V",$Y463="F"),AL460,IF(AND($Y460="F",$Y463="V"),AL463,IF(AND($Y460="V",$Y463="V"),AL460+AL463,0)))</f>
        <v>0</v>
      </c>
      <c r="AM464" s="1738">
        <f>IF(AND($Y460="V",$Y463="F"),AM460,IF(AND($Y460="F",$Y463="V"),AM463,IF(AND($Y460="V",$Y463="V"),AM460+AM463,0)))</f>
        <v>0</v>
      </c>
      <c r="AN464" s="1738"/>
      <c r="AO464" s="1738"/>
      <c r="AY464" s="734"/>
      <c r="AZ464" s="734"/>
      <c r="BA464" s="87"/>
      <c r="BB464" s="442"/>
      <c r="BC464" s="89"/>
      <c r="BD464" s="446"/>
      <c r="BE464" s="446"/>
      <c r="BF464" s="89"/>
      <c r="BG464" s="447"/>
      <c r="BH464" s="447"/>
      <c r="BI464" s="443"/>
    </row>
    <row r="465" spans="1:78" ht="19" x14ac:dyDescent="0.2">
      <c r="B465" s="1700"/>
      <c r="C465" t="s">
        <v>238</v>
      </c>
      <c r="I465" s="122"/>
      <c r="L465" s="32"/>
      <c r="M465" s="32"/>
      <c r="N465" s="32"/>
      <c r="O465" s="1379"/>
      <c r="P465" s="122"/>
      <c r="R465" s="292"/>
      <c r="S465" s="122"/>
      <c r="U465" s="292"/>
      <c r="V465" s="32"/>
      <c r="W465" s="821"/>
      <c r="X465" s="822"/>
      <c r="Y465" s="821"/>
      <c r="Z465" s="822"/>
      <c r="AA465" s="821"/>
      <c r="AB465" s="822"/>
      <c r="AD465" s="10"/>
      <c r="AE465" s="10"/>
      <c r="AF465" s="10"/>
      <c r="AG465" s="832"/>
      <c r="AH465" s="832"/>
      <c r="AI465" s="832"/>
      <c r="AJ465" s="1490"/>
      <c r="AK465" s="1490"/>
      <c r="AL465" s="1490"/>
      <c r="AM465" s="1490"/>
      <c r="AN465" s="1490"/>
      <c r="AO465" s="1490"/>
      <c r="AY465" s="734"/>
      <c r="AZ465" s="734"/>
      <c r="BA465" s="87"/>
      <c r="BB465" s="442"/>
      <c r="BC465" s="89"/>
      <c r="BD465" s="446"/>
      <c r="BE465" s="446"/>
      <c r="BF465" s="89"/>
      <c r="BG465" s="447"/>
      <c r="BH465" s="447"/>
      <c r="BI465" s="443"/>
    </row>
    <row r="466" spans="1:78" ht="34" x14ac:dyDescent="0.2">
      <c r="A466" t="str">
        <f>IF(Test_Bible!B150="","F","O")</f>
        <v>O</v>
      </c>
      <c r="B466" s="1700" t="str">
        <f>'Cpts AR +indép + Sommaire'!Y70</f>
        <v>Parentification</v>
      </c>
      <c r="C466" s="825" t="str">
        <f>'Cpts AR +indép + Sommaire'!U70</f>
        <v>PCR14</v>
      </c>
      <c r="D466" s="826" t="str">
        <f>'Cpts AR +indép + Sommaire'!V70</f>
        <v>Un enfant de 12 ans est assez mature pour choisir où et avec qui il veut vivre.</v>
      </c>
      <c r="E466" s="826"/>
      <c r="F466" s="830">
        <f>'Cpts AR +indép + Sommaire'!W70</f>
        <v>1</v>
      </c>
      <c r="G466" s="830">
        <f>'Cpts AR +indép + Sommaire'!X70</f>
        <v>3</v>
      </c>
      <c r="H466" s="830">
        <f>F466*G466</f>
        <v>3</v>
      </c>
      <c r="I466" s="1350">
        <v>4</v>
      </c>
      <c r="J466" s="1343">
        <v>10</v>
      </c>
      <c r="K466" s="31" t="b">
        <f>IF(AND(F466&gt;=I466,F466&lt;=J466),TRUE,FALSE)</f>
        <v>0</v>
      </c>
      <c r="L466" s="26"/>
      <c r="M466" s="26"/>
      <c r="N466" s="26"/>
      <c r="O466" s="1360"/>
      <c r="P466" s="1374">
        <v>11</v>
      </c>
      <c r="Q466" s="1375">
        <v>11</v>
      </c>
      <c r="R466" s="1351" t="b">
        <f>IF(AND(F466&gt;=P466,F466&lt;=Q466),TRUE,FALSE)</f>
        <v>0</v>
      </c>
      <c r="S466" s="1374">
        <v>11</v>
      </c>
      <c r="T466" s="1375">
        <v>11</v>
      </c>
      <c r="U466" s="1351" t="b">
        <f>IF(AND(F466&gt;=S466,F466&lt;=T466),TRUE,FALSE)</f>
        <v>0</v>
      </c>
      <c r="V466" s="32"/>
      <c r="W466" s="821"/>
      <c r="X466" s="822"/>
      <c r="Y466" s="821"/>
      <c r="Z466" s="822"/>
      <c r="AA466" s="821"/>
      <c r="AB466" s="822"/>
      <c r="AD466" s="10"/>
      <c r="AE466" s="10"/>
      <c r="AF466" s="10"/>
      <c r="AG466" s="832">
        <f>IF($K466=TRUE,H466,0)</f>
        <v>0</v>
      </c>
      <c r="AH466" s="832">
        <f>IF($R466=TRUE,H466,0)</f>
        <v>0</v>
      </c>
      <c r="AI466" s="832">
        <f>IF($U466=TRUE,H466,0)</f>
        <v>0</v>
      </c>
      <c r="AJ466" s="1490">
        <f t="shared" ref="AJ466:AJ467" si="954">IF(OR(I466=11,A466="F"),0,G466*I466)</f>
        <v>12</v>
      </c>
      <c r="AK466" s="1490">
        <f t="shared" ref="AK466:AK467" si="955">IF(OR(J466=11,A466="F"),0,G466*J466)</f>
        <v>30</v>
      </c>
      <c r="AL466" s="1490">
        <f t="shared" ref="AL466:AL467" si="956">IF(OR(P466=11,A466="F"),0,G466*P466)</f>
        <v>0</v>
      </c>
      <c r="AM466" s="1490">
        <f t="shared" ref="AM466:AM467" si="957">IF(OR(Q466=11,A466="F"),0,G466*Q466)</f>
        <v>0</v>
      </c>
      <c r="AN466" s="1490">
        <f t="shared" ref="AN466:AN467" si="958">IF(OR(S466=11,A466="F"),0,S466*G466)</f>
        <v>0</v>
      </c>
      <c r="AO466" s="1490">
        <f t="shared" ref="AO466:AO467" si="959">IF(OR(T466=11,A466="F"),0,T466*G466)</f>
        <v>0</v>
      </c>
      <c r="AY466" s="734"/>
      <c r="AZ466" s="734"/>
      <c r="BA466" s="87"/>
      <c r="BB466" s="442"/>
      <c r="BC466" s="89"/>
      <c r="BD466" s="446"/>
      <c r="BE466" s="446"/>
      <c r="BF466" s="89"/>
      <c r="BG466" s="447"/>
      <c r="BH466" s="447"/>
      <c r="BI466" s="443"/>
    </row>
    <row r="467" spans="1:78" ht="20" thickBot="1" x14ac:dyDescent="0.25">
      <c r="B467" s="1700"/>
      <c r="C467" s="825"/>
      <c r="D467" s="829"/>
      <c r="E467" s="826"/>
      <c r="F467" s="830"/>
      <c r="G467" s="830"/>
      <c r="H467" s="830">
        <f>F467*G467</f>
        <v>0</v>
      </c>
      <c r="I467" s="1374">
        <v>11</v>
      </c>
      <c r="J467" s="1375">
        <v>11</v>
      </c>
      <c r="K467" s="31" t="b">
        <f>IF(AND(F467&gt;=I467,F467&lt;=J467),TRUE,FALSE)</f>
        <v>0</v>
      </c>
      <c r="L467" s="26"/>
      <c r="M467" s="26"/>
      <c r="N467" s="26"/>
      <c r="O467" s="1360"/>
      <c r="P467" s="1374">
        <v>11</v>
      </c>
      <c r="Q467" s="1375">
        <v>11</v>
      </c>
      <c r="R467" s="1351" t="b">
        <f>IF(AND(F467&gt;=P467,F467&lt;=Q467),TRUE,FALSE)</f>
        <v>0</v>
      </c>
      <c r="S467" s="1374">
        <v>11</v>
      </c>
      <c r="T467" s="1375">
        <v>11</v>
      </c>
      <c r="U467" s="1351" t="b">
        <f>IF(AND(F467&gt;=S467,F467&lt;=T467),TRUE,FALSE)</f>
        <v>0</v>
      </c>
      <c r="W467" s="821"/>
      <c r="X467" s="822"/>
      <c r="Y467" s="821"/>
      <c r="Z467" s="822"/>
      <c r="AA467" s="821"/>
      <c r="AB467" s="822"/>
      <c r="AD467" s="10"/>
      <c r="AE467" s="10"/>
      <c r="AF467" s="10"/>
      <c r="AG467" s="832">
        <f>IF($K467=TRUE,H467,0)</f>
        <v>0</v>
      </c>
      <c r="AH467" s="832">
        <f>IF($R467=TRUE,H467,0)</f>
        <v>0</v>
      </c>
      <c r="AI467" s="832">
        <f>IF($U467=TRUE,H467,0)</f>
        <v>0</v>
      </c>
      <c r="AJ467" s="1490">
        <f t="shared" si="954"/>
        <v>0</v>
      </c>
      <c r="AK467" s="1490">
        <f t="shared" si="955"/>
        <v>0</v>
      </c>
      <c r="AL467" s="1490">
        <f t="shared" si="956"/>
        <v>0</v>
      </c>
      <c r="AM467" s="1490">
        <f t="shared" si="957"/>
        <v>0</v>
      </c>
      <c r="AN467" s="1490">
        <f t="shared" si="958"/>
        <v>0</v>
      </c>
      <c r="AO467" s="1490">
        <f t="shared" si="959"/>
        <v>0</v>
      </c>
      <c r="AY467" s="734"/>
      <c r="AZ467" s="734"/>
      <c r="BA467" s="87"/>
      <c r="BB467" s="442"/>
      <c r="BC467" s="89"/>
      <c r="BD467" s="446"/>
      <c r="BE467" s="446"/>
      <c r="BF467" s="89"/>
      <c r="BG467" s="447"/>
      <c r="BH467" s="447"/>
      <c r="BI467" s="443"/>
    </row>
    <row r="468" spans="1:78" ht="27" thickBot="1" x14ac:dyDescent="0.35">
      <c r="D468" s="16"/>
      <c r="E468" s="16"/>
      <c r="F468" s="67"/>
      <c r="G468" s="438"/>
      <c r="H468" s="33">
        <f>IF(AND(K466=TRUE,K467=FALSE),H466,IF(AND(K466=FALSE,K467=TRUE),H467,MAX(H466,H467)))</f>
        <v>3</v>
      </c>
      <c r="I468" s="1371"/>
      <c r="J468" s="1372"/>
      <c r="K468" s="1378" t="b">
        <f>IF(AND(K466=FALSE,K467=FALSE),FALSE,TRUE)</f>
        <v>0</v>
      </c>
      <c r="L468" s="1361"/>
      <c r="M468" s="1362"/>
      <c r="N468" s="1362"/>
      <c r="O468" s="1363"/>
      <c r="P468" s="1371"/>
      <c r="Q468" s="1372"/>
      <c r="R468" s="1378" t="b">
        <f>IF(AND(R466=FALSE,R467=FALSE),FALSE,TRUE)</f>
        <v>0</v>
      </c>
      <c r="S468" s="1383"/>
      <c r="T468" s="1384"/>
      <c r="U468" s="1385" t="b">
        <f>IF(AND(U466=FALSE,U467=FALSE),FALSE,TRUE)</f>
        <v>0</v>
      </c>
      <c r="V468" s="809"/>
      <c r="W468" s="1315" t="str">
        <f>IF(K468=TRUE,"V","F")</f>
        <v>F</v>
      </c>
      <c r="X468" s="1316"/>
      <c r="Y468" s="1315" t="str">
        <f>IF(R468=TRUE,"V","F")</f>
        <v>F</v>
      </c>
      <c r="Z468" s="1316"/>
      <c r="AA468" s="1315" t="str">
        <f>IF(U468=TRUE,"V","F")</f>
        <v>F</v>
      </c>
      <c r="AB468" s="1316"/>
      <c r="AD468" s="10"/>
      <c r="AE468" s="10"/>
      <c r="AF468" s="10"/>
      <c r="AG468" s="1742">
        <f>IF(AND($K466=TRUE,$K467=FALSE),AG466,IF(AND($K466=FALSE,$K467=TRUE),AG467,MAX(AG466,AG467)))</f>
        <v>0</v>
      </c>
      <c r="AH468" s="1742">
        <f>IF(AND($R466=TRUE,$R467=FALSE),AH466,IF(AND($R466=FALSE,$R467=TRUE),AH467,MAX(AH466,AH467)))</f>
        <v>0</v>
      </c>
      <c r="AI468" s="1742">
        <f>IF(AND($U466=TRUE,$U467=FALSE),AI466,IF(AND($U466=FALSE,$U467=TRUE),AI467,MAX(AI466,AI467)))</f>
        <v>0</v>
      </c>
      <c r="AJ468" s="1742">
        <f>IF(AND($K466=TRUE,$K467=FALSE),AJ466,IF(AND($K466=FALSE,$K467=TRUE),AJ467,MAX(AJ466,AJ467)))</f>
        <v>12</v>
      </c>
      <c r="AK468" s="1742">
        <f>IF(AND($K466=TRUE,$K467=FALSE),AK466,IF(AND($K466=FALSE,$K467=TRUE),AK467,MAX(AK466,AK467)))</f>
        <v>30</v>
      </c>
      <c r="AL468" s="1742">
        <f>IF(AND($R466=TRUE,$R467=FALSE),AL466,IF(AND($R466=FALSE,$R467=TRUE),AL467,MAX(AL466,AL467)))</f>
        <v>0</v>
      </c>
      <c r="AM468" s="1742">
        <f>IF(AND($R466=TRUE,$R467=FALSE),AM466,IF(AND($R466=FALSE,$R467=TRUE),AM467,MAX(AM466,AM467)))</f>
        <v>0</v>
      </c>
      <c r="AN468" s="1742">
        <f>IF(AND($U466=TRUE,$U467=FALSE),AN466,IF(AND($U466=FALSE,$U467=TRUE),AN467,MAX(AN466,AN467)))</f>
        <v>0</v>
      </c>
      <c r="AO468" s="1742">
        <f>IF(AND($U466=TRUE,$U467=FALSE),AO466,IF(AND($U466=FALSE,$U467=TRUE),AO467,MAX(AO466,AO467)))</f>
        <v>0</v>
      </c>
      <c r="AY468" s="734"/>
      <c r="AZ468" s="734"/>
      <c r="BA468" s="87"/>
      <c r="BB468" s="442"/>
      <c r="BC468" s="89"/>
      <c r="BD468" s="446"/>
      <c r="BE468" s="446"/>
      <c r="BF468" s="89"/>
      <c r="BG468" s="447"/>
      <c r="BH468" s="447"/>
      <c r="BI468" s="443"/>
    </row>
    <row r="469" spans="1:78" ht="27" thickBot="1" x14ac:dyDescent="0.35">
      <c r="D469" s="16"/>
      <c r="E469" s="16"/>
      <c r="F469" s="67"/>
      <c r="G469" s="438"/>
      <c r="H469" s="438"/>
      <c r="I469" s="8"/>
      <c r="J469" s="8"/>
      <c r="K469" s="808"/>
      <c r="L469" s="809"/>
      <c r="M469" s="809"/>
      <c r="N469" s="809"/>
      <c r="O469" s="809"/>
      <c r="P469" s="809"/>
      <c r="Q469" s="809"/>
      <c r="R469" s="809"/>
      <c r="S469" s="809"/>
      <c r="T469" s="809"/>
      <c r="U469" s="809"/>
      <c r="V469" s="809"/>
      <c r="W469" s="1376"/>
      <c r="X469" s="1377">
        <f>IF(AND(W468="V",W460="V"),X464-1,X464)</f>
        <v>1</v>
      </c>
      <c r="Y469" s="1376"/>
      <c r="Z469" s="1377">
        <f>IF(OR(Y460="V",Y463="V",Y468="V"),1,0)</f>
        <v>0</v>
      </c>
      <c r="AA469" s="1376"/>
      <c r="AB469" s="1377">
        <f>IF(AA460="V",1,IF(AA468="V",1,0))</f>
        <v>0</v>
      </c>
      <c r="AD469" s="10">
        <f>X469</f>
        <v>1</v>
      </c>
      <c r="AE469" s="10">
        <f>Z469</f>
        <v>0</v>
      </c>
      <c r="AF469" s="10">
        <f>AB469</f>
        <v>0</v>
      </c>
      <c r="AG469" s="1741">
        <f>IF($W468="F",AG464,AG464+AG468)</f>
        <v>30</v>
      </c>
      <c r="AH469" s="1741">
        <f>IF($Y468="F",AH464,AH464+AH468)</f>
        <v>0</v>
      </c>
      <c r="AI469" s="1741">
        <f>IF(AND($AA460="V",$AA468="F"),AI460,IF(AND($AA460="F",$AA468="V"),AI468,IF(AND($AA460="V",$AA468="V"),AI460+AI468,0)))</f>
        <v>0</v>
      </c>
      <c r="AJ469" s="1741">
        <f>IF($W468="F",AJ464,AJ464+AJ468)</f>
        <v>21</v>
      </c>
      <c r="AK469" s="1741">
        <f t="shared" ref="AK469" si="960">IF($W468="F",AK464,AK464+AK468)</f>
        <v>30</v>
      </c>
      <c r="AL469" s="1741">
        <f t="shared" ref="AL469" si="961">IF($Y468="F",AL464,AL464+AL468)</f>
        <v>0</v>
      </c>
      <c r="AM469" s="1741">
        <f t="shared" ref="AM469" si="962">IF($Y468="F",AM464,AM464+AM468)</f>
        <v>0</v>
      </c>
      <c r="AN469" s="1741">
        <f t="shared" ref="AN469" si="963">IF(AND($AA460="V",$AA468="F"),AN460,IF(AND($AA460="F",$AA468="V"),AN468,IF(AND($AA460="V",$AA468="V"),AN460+AN468,0)))</f>
        <v>0</v>
      </c>
      <c r="AO469" s="1741">
        <f t="shared" ref="AO469" si="964">IF(AND($AA460="V",$AA468="F"),AO460,IF(AND($AA460="F",$AA468="V"),AO468,IF(AND($AA460="V",$AA468="V"),AO460+AO468,0)))</f>
        <v>0</v>
      </c>
      <c r="AY469" s="734"/>
      <c r="AZ469" s="734"/>
      <c r="BA469" s="87"/>
      <c r="BB469" s="442"/>
      <c r="BC469" s="89"/>
      <c r="BD469" s="446"/>
      <c r="BE469" s="446"/>
      <c r="BF469" s="89"/>
      <c r="BG469" s="447"/>
      <c r="BH469" s="447"/>
      <c r="BI469" s="443"/>
    </row>
    <row r="470" spans="1:78" x14ac:dyDescent="0.3">
      <c r="D470" s="16"/>
      <c r="E470" s="16"/>
      <c r="F470" s="67"/>
      <c r="G470" s="438"/>
      <c r="H470" s="438"/>
      <c r="I470" s="1344"/>
      <c r="J470" s="1345"/>
      <c r="K470" s="1346"/>
      <c r="L470" s="2603"/>
      <c r="M470" s="2603"/>
      <c r="N470" s="2603"/>
      <c r="O470" s="1347"/>
      <c r="P470" s="1364"/>
      <c r="Q470" s="1346"/>
      <c r="R470" s="1347"/>
      <c r="S470" s="1364"/>
      <c r="T470" s="1346"/>
      <c r="U470" s="1347"/>
      <c r="V470" s="145"/>
      <c r="W470" s="1387"/>
      <c r="X470" s="1388"/>
      <c r="Y470" s="1231"/>
      <c r="Z470" s="1231"/>
      <c r="AA470" s="1231"/>
      <c r="AB470" s="1231"/>
      <c r="AD470" s="10"/>
      <c r="AE470" s="10"/>
      <c r="AF470" s="10"/>
      <c r="AY470" s="734"/>
      <c r="AZ470" s="734"/>
      <c r="BA470" s="87"/>
      <c r="BB470" s="442"/>
      <c r="BC470" s="89"/>
      <c r="BD470" s="446"/>
      <c r="BE470" s="446"/>
      <c r="BF470" s="89"/>
      <c r="BG470" s="447"/>
      <c r="BH470" s="447"/>
      <c r="BI470" s="443"/>
    </row>
    <row r="471" spans="1:78" x14ac:dyDescent="0.3">
      <c r="B471" s="1699">
        <v>23</v>
      </c>
      <c r="D471" s="441" t="str">
        <f>'Cpts AR +indép + Sommaire'!B73</f>
        <v>Respecter les désirs de l'enfant</v>
      </c>
      <c r="E471" s="84"/>
      <c r="F471" s="50"/>
      <c r="G471" s="18"/>
      <c r="H471" s="18"/>
      <c r="I471" s="2595" t="s">
        <v>604</v>
      </c>
      <c r="J471" s="2596"/>
      <c r="K471" s="2596"/>
      <c r="L471" s="2597" t="s">
        <v>1086</v>
      </c>
      <c r="M471" s="2597"/>
      <c r="N471" s="2597"/>
      <c r="O471" s="2598"/>
      <c r="P471" s="2599" t="s">
        <v>603</v>
      </c>
      <c r="Q471" s="2600"/>
      <c r="R471" s="2601"/>
      <c r="S471" s="2590" t="s">
        <v>605</v>
      </c>
      <c r="T471" s="2591"/>
      <c r="U471" s="2592"/>
      <c r="V471" s="15"/>
      <c r="W471" s="817"/>
      <c r="X471" s="817"/>
      <c r="Y471" s="817"/>
      <c r="Z471" s="817"/>
      <c r="AA471" s="817"/>
      <c r="AB471" s="818"/>
      <c r="AD471" s="10"/>
      <c r="AE471" s="10"/>
      <c r="AF471" s="10"/>
      <c r="AG471" s="1386" t="s">
        <v>604</v>
      </c>
      <c r="AH471" s="1386" t="s">
        <v>603</v>
      </c>
      <c r="AI471" s="1386" t="s">
        <v>605</v>
      </c>
      <c r="AJ471" s="2589" t="s">
        <v>604</v>
      </c>
      <c r="AK471" s="2589"/>
      <c r="AL471" s="2589" t="s">
        <v>603</v>
      </c>
      <c r="AM471" s="2589"/>
      <c r="AN471" s="2589" t="s">
        <v>605</v>
      </c>
      <c r="AO471" s="2589"/>
      <c r="AY471" s="734"/>
      <c r="AZ471" s="734"/>
      <c r="BA471" s="87"/>
      <c r="BB471" s="442"/>
      <c r="BC471" s="89"/>
      <c r="BD471" s="446"/>
      <c r="BE471" s="446"/>
      <c r="BF471" s="89"/>
      <c r="BG471" s="447"/>
      <c r="BH471" s="447"/>
      <c r="BI471" s="443"/>
    </row>
    <row r="472" spans="1:78" ht="34" x14ac:dyDescent="0.2">
      <c r="B472" s="1700"/>
      <c r="D472" s="79" t="s">
        <v>779</v>
      </c>
      <c r="E472" s="835" t="s">
        <v>778</v>
      </c>
      <c r="F472" s="26" t="s">
        <v>226</v>
      </c>
      <c r="G472" s="26" t="s">
        <v>22</v>
      </c>
      <c r="H472" s="26" t="s">
        <v>612</v>
      </c>
      <c r="I472" s="1348" t="s">
        <v>269</v>
      </c>
      <c r="J472" s="29" t="s">
        <v>270</v>
      </c>
      <c r="K472" s="29" t="s">
        <v>271</v>
      </c>
      <c r="L472" s="29" t="s">
        <v>363</v>
      </c>
      <c r="M472" s="29" t="s">
        <v>339</v>
      </c>
      <c r="N472" s="29" t="s">
        <v>340</v>
      </c>
      <c r="O472" s="1349" t="s">
        <v>341</v>
      </c>
      <c r="P472" s="1348" t="s">
        <v>269</v>
      </c>
      <c r="Q472" s="29" t="s">
        <v>270</v>
      </c>
      <c r="R472" s="1349" t="s">
        <v>271</v>
      </c>
      <c r="S472" s="1348" t="s">
        <v>269</v>
      </c>
      <c r="T472" s="29" t="s">
        <v>270</v>
      </c>
      <c r="U472" s="1349" t="s">
        <v>271</v>
      </c>
      <c r="V472" s="736"/>
      <c r="W472" s="827" t="s">
        <v>604</v>
      </c>
      <c r="X472" s="828" t="s">
        <v>754</v>
      </c>
      <c r="Y472" s="827" t="s">
        <v>603</v>
      </c>
      <c r="Z472" s="828" t="s">
        <v>755</v>
      </c>
      <c r="AA472" s="827" t="s">
        <v>605</v>
      </c>
      <c r="AB472" s="828" t="s">
        <v>756</v>
      </c>
      <c r="AD472" s="10"/>
      <c r="AE472" s="10"/>
      <c r="AF472" s="10"/>
      <c r="AG472" s="10"/>
      <c r="AH472" s="10"/>
      <c r="AI472" s="10"/>
      <c r="AJ472" s="1490" t="s">
        <v>1058</v>
      </c>
      <c r="AK472" s="1490" t="s">
        <v>1059</v>
      </c>
      <c r="AL472" s="1490" t="s">
        <v>1058</v>
      </c>
      <c r="AM472" s="1490" t="s">
        <v>1059</v>
      </c>
      <c r="AN472" s="1490" t="s">
        <v>1058</v>
      </c>
      <c r="AO472" s="1490" t="s">
        <v>1059</v>
      </c>
      <c r="AY472" s="734"/>
      <c r="AZ472" s="734"/>
      <c r="BA472" s="87"/>
      <c r="BB472" s="442"/>
      <c r="BC472" s="89"/>
      <c r="BD472" s="446"/>
      <c r="BE472" s="446"/>
      <c r="BF472" s="89"/>
      <c r="BG472" s="447"/>
      <c r="BH472" s="447"/>
      <c r="BI472" s="443"/>
    </row>
    <row r="473" spans="1:78" ht="34" x14ac:dyDescent="0.2">
      <c r="A473" t="str">
        <f>IF(Test_Bible!B184="","F","O")</f>
        <v>O</v>
      </c>
      <c r="B473" s="1700" t="str">
        <f>'Cpts AR +indép + Sommaire'!G73</f>
        <v>Rôle actif de l'enfant</v>
      </c>
      <c r="C473" s="379" t="str">
        <f>'Cpts AR +indép + Sommaire'!C73</f>
        <v>PFA11a</v>
      </c>
      <c r="D473" s="698" t="str">
        <f>'Cpts AR +indép + Sommaire'!D73</f>
        <v>Est-ce que l'autre parent vous demande de respecter les désirs et les choix de votre enfant ?</v>
      </c>
      <c r="E473" s="78" t="s">
        <v>665</v>
      </c>
      <c r="F473" s="709">
        <f>'Cpts AR +indép + Sommaire'!E73</f>
        <v>7</v>
      </c>
      <c r="G473" s="709">
        <f>'Cpts AR +indép + Sommaire'!F73</f>
        <v>3</v>
      </c>
      <c r="H473" s="709">
        <f>F473*G473</f>
        <v>21</v>
      </c>
      <c r="I473" s="1350">
        <v>4</v>
      </c>
      <c r="J473" s="1343">
        <v>10</v>
      </c>
      <c r="K473" s="31" t="b">
        <f>IF(AND(F473&gt;=I473,F473&lt;=J473),TRUE,FALSE)</f>
        <v>1</v>
      </c>
      <c r="L473" s="31"/>
      <c r="M473" s="31"/>
      <c r="N473" s="31"/>
      <c r="O473" s="1351"/>
      <c r="P473" s="1374">
        <v>11</v>
      </c>
      <c r="Q473" s="1375">
        <v>11</v>
      </c>
      <c r="R473" s="1351" t="b">
        <f>IF(AND(F473&gt;=P473,F473&lt;=Q473),TRUE,FALSE)</f>
        <v>0</v>
      </c>
      <c r="S473" s="1350">
        <v>4</v>
      </c>
      <c r="T473" s="1343">
        <v>7</v>
      </c>
      <c r="U473" s="1351" t="b">
        <f>IF(AND(F473&gt;=S473,F473&lt;=T473),TRUE,FALSE)</f>
        <v>1</v>
      </c>
      <c r="V473" s="807"/>
      <c r="W473" s="819"/>
      <c r="X473" s="820"/>
      <c r="Y473" s="819"/>
      <c r="Z473" s="820"/>
      <c r="AA473" s="819"/>
      <c r="AB473" s="820"/>
      <c r="AD473" s="10"/>
      <c r="AE473" s="10"/>
      <c r="AF473" s="10"/>
      <c r="AG473" s="832">
        <f>IF($K473=TRUE,H473,0)</f>
        <v>21</v>
      </c>
      <c r="AH473" s="832">
        <f>IF($R473=TRUE,H473,0)</f>
        <v>0</v>
      </c>
      <c r="AI473" s="832">
        <f>IF($U473=TRUE,H473,0)</f>
        <v>21</v>
      </c>
      <c r="AJ473" s="1490">
        <f t="shared" ref="AJ473:AJ474" si="965">IF(OR(I473=11,A473="F"),0,G473*I473)</f>
        <v>12</v>
      </c>
      <c r="AK473" s="1490">
        <f t="shared" ref="AK473:AK474" si="966">IF(OR(J473=11,A473="F"),0,G473*J473)</f>
        <v>30</v>
      </c>
      <c r="AL473" s="1490">
        <f t="shared" ref="AL473:AL474" si="967">IF(OR(P473=11,A473="F"),0,G473*P473)</f>
        <v>0</v>
      </c>
      <c r="AM473" s="1490">
        <f t="shared" ref="AM473:AM474" si="968">IF(OR(Q473=11,A473="F"),0,G473*Q473)</f>
        <v>0</v>
      </c>
      <c r="AN473" s="1490">
        <f t="shared" ref="AN473:AN474" si="969">IF(OR(S473=11,A473="F"),0,S473*G473)</f>
        <v>12</v>
      </c>
      <c r="AO473" s="1490">
        <f t="shared" ref="AO473:AO474" si="970">IF(OR(T473=11,A473="F"),0,T473*G473)</f>
        <v>21</v>
      </c>
      <c r="AY473" s="734"/>
      <c r="AZ473" s="734"/>
      <c r="BA473" s="87"/>
      <c r="BB473" s="442"/>
      <c r="BC473" s="89"/>
      <c r="BD473" s="446"/>
      <c r="BE473" s="446"/>
      <c r="BF473" s="89"/>
      <c r="BG473" s="447"/>
      <c r="BH473" s="447"/>
      <c r="BI473" s="443"/>
    </row>
    <row r="474" spans="1:78" ht="19" x14ac:dyDescent="0.2">
      <c r="B474" s="1700"/>
      <c r="C474" s="379" t="s">
        <v>260</v>
      </c>
      <c r="D474" s="25"/>
      <c r="E474" s="78"/>
      <c r="F474" s="709"/>
      <c r="G474" s="708"/>
      <c r="H474" s="709">
        <f>F474*G474</f>
        <v>0</v>
      </c>
      <c r="I474" s="1374">
        <v>11</v>
      </c>
      <c r="J474" s="1375">
        <v>11</v>
      </c>
      <c r="K474" s="31" t="b">
        <f>IF(AND(F474&gt;=I474,F474&lt;=J474),TRUE,FALSE)</f>
        <v>0</v>
      </c>
      <c r="L474" s="31"/>
      <c r="M474" s="31"/>
      <c r="N474" s="31"/>
      <c r="O474" s="1351"/>
      <c r="P474" s="1374">
        <v>11</v>
      </c>
      <c r="Q474" s="1375">
        <v>11</v>
      </c>
      <c r="R474" s="1351" t="b">
        <f>IF(AND(F474&gt;=P474,F474&lt;=Q474),TRUE,FALSE)</f>
        <v>0</v>
      </c>
      <c r="S474" s="1374">
        <v>11</v>
      </c>
      <c r="T474" s="1375">
        <v>11</v>
      </c>
      <c r="U474" s="1351" t="b">
        <f>IF(AND(F474&gt;=S474,F474&lt;=T474),TRUE,FALSE)</f>
        <v>0</v>
      </c>
      <c r="V474" s="807"/>
      <c r="W474" s="821"/>
      <c r="X474" s="822"/>
      <c r="Y474" s="821"/>
      <c r="Z474" s="822"/>
      <c r="AA474" s="821"/>
      <c r="AB474" s="822"/>
      <c r="AD474" s="10"/>
      <c r="AE474" s="10"/>
      <c r="AF474" s="10"/>
      <c r="AG474" s="832">
        <f>IF($K474=TRUE,H474,0)</f>
        <v>0</v>
      </c>
      <c r="AH474" s="832">
        <f>IF($R474=TRUE,H474,0)</f>
        <v>0</v>
      </c>
      <c r="AI474" s="832">
        <f>IF($U474=TRUE,H474,0)</f>
        <v>0</v>
      </c>
      <c r="AJ474" s="1490">
        <f t="shared" si="965"/>
        <v>0</v>
      </c>
      <c r="AK474" s="1490">
        <f t="shared" si="966"/>
        <v>0</v>
      </c>
      <c r="AL474" s="1490">
        <f t="shared" si="967"/>
        <v>0</v>
      </c>
      <c r="AM474" s="1490">
        <f t="shared" si="968"/>
        <v>0</v>
      </c>
      <c r="AN474" s="1490">
        <f t="shared" si="969"/>
        <v>0</v>
      </c>
      <c r="AO474" s="1490">
        <f t="shared" si="970"/>
        <v>0</v>
      </c>
      <c r="AY474" s="734"/>
      <c r="AZ474" s="734"/>
      <c r="BA474" s="87"/>
      <c r="BB474" s="442"/>
      <c r="BC474" s="89"/>
      <c r="BD474" s="446"/>
      <c r="BE474" s="446"/>
      <c r="BF474" s="89"/>
      <c r="BG474" s="447"/>
      <c r="BH474" s="447"/>
      <c r="BI474" s="443"/>
    </row>
    <row r="475" spans="1:78" ht="34" x14ac:dyDescent="0.2">
      <c r="B475" s="1700"/>
      <c r="C475" s="710" t="s">
        <v>609</v>
      </c>
      <c r="D475" s="711" t="str">
        <f>_xlfn.XLOOKUP(H475,H473:H474,D473:D474)</f>
        <v>Est-ce que l'autre parent vous demande de respecter les désirs et les choix de votre enfant ?</v>
      </c>
      <c r="E475" s="712" t="str">
        <f>_xlfn.XLOOKUP(H475,H473:H474,E473:E474)</f>
        <v>vous demande de respecter les désirs et choix de l'enfant</v>
      </c>
      <c r="F475" s="713"/>
      <c r="G475" s="713"/>
      <c r="H475" s="713">
        <f>IF(AND(K473=TRUE,K474=FALSE),H473,IF(AND(K473=FALSE,K474=TRUE),H474,MAX(H473,H474)))</f>
        <v>21</v>
      </c>
      <c r="I475" s="1352"/>
      <c r="J475" s="714"/>
      <c r="K475" s="715" t="b">
        <f>IF(AND(K473=FALSE,K474=FALSE),FALSE,TRUE)</f>
        <v>1</v>
      </c>
      <c r="L475" s="31"/>
      <c r="M475" s="31"/>
      <c r="N475" s="31"/>
      <c r="O475" s="1351"/>
      <c r="P475" s="1352"/>
      <c r="Q475" s="714"/>
      <c r="R475" s="1365" t="b">
        <f>IF(AND(R473=FALSE,R474=FALSE),FALSE,TRUE)</f>
        <v>0</v>
      </c>
      <c r="S475" s="1352"/>
      <c r="T475" s="714"/>
      <c r="U475" s="1365" t="b">
        <f>IF(AND(U473=FALSE,U474=FALSE),FALSE,TRUE)</f>
        <v>1</v>
      </c>
      <c r="V475" s="807"/>
      <c r="W475" s="821"/>
      <c r="X475" s="822"/>
      <c r="Y475" s="821"/>
      <c r="Z475" s="822"/>
      <c r="AA475" s="821"/>
      <c r="AB475" s="822"/>
      <c r="AD475" s="10"/>
      <c r="AE475" s="10"/>
      <c r="AF475" s="10"/>
      <c r="AG475" s="1740">
        <f>IF($K475=TRUE,MAX(AG473:AG474),0)</f>
        <v>21</v>
      </c>
      <c r="AH475" s="1740">
        <f>IF($R475=TRUE,MAX(AH473:AH474),0)</f>
        <v>0</v>
      </c>
      <c r="AI475" s="1740">
        <f>IF($U475=TRUE,MAX(AI473:AI474),0)</f>
        <v>21</v>
      </c>
      <c r="AJ475" s="1739">
        <f>MAX(AJ473:AJ474)</f>
        <v>12</v>
      </c>
      <c r="AK475" s="1739">
        <f t="shared" ref="AK475" si="971">MAX(AK473:AK474)</f>
        <v>30</v>
      </c>
      <c r="AL475" s="1739">
        <f t="shared" ref="AL475" si="972">MAX(AL473:AL474)</f>
        <v>0</v>
      </c>
      <c r="AM475" s="1739">
        <f t="shared" ref="AM475" si="973">MAX(AM473:AM474)</f>
        <v>0</v>
      </c>
      <c r="AN475" s="1739">
        <f t="shared" ref="AN475" si="974">MAX(AN473:AN474)</f>
        <v>12</v>
      </c>
      <c r="AO475" s="1739">
        <f t="shared" ref="AO475" si="975">MAX(AO473:AO474)</f>
        <v>21</v>
      </c>
      <c r="AY475" s="734"/>
      <c r="AZ475" s="734"/>
      <c r="BA475" s="87"/>
      <c r="BB475" s="442"/>
      <c r="BC475" s="89"/>
      <c r="BD475" s="446"/>
      <c r="BE475" s="446"/>
      <c r="BF475" s="89"/>
      <c r="BG475" s="447"/>
      <c r="BH475" s="447"/>
      <c r="BI475" s="443"/>
    </row>
    <row r="476" spans="1:78" ht="51" x14ac:dyDescent="0.2">
      <c r="A476" t="str">
        <f>IF(Test_Bible!B426="","F","O")</f>
        <v>O</v>
      </c>
      <c r="B476" s="1700" t="str">
        <f>'Cpts AR +indép + Sommaire'!M73</f>
        <v>Rôle actif de l'enfant</v>
      </c>
      <c r="C476" s="38" t="str">
        <f>'Cpts AR +indép + Sommaire'!I73</f>
        <v>NC16</v>
      </c>
      <c r="D476" s="25" t="str">
        <f>'Cpts AR +indép + Sommaire'!J73</f>
        <v>Est-ce que le nouveau ou nouvelle conjoint·e vous demande de respecter les désirs et choix de votre enfant ?</v>
      </c>
      <c r="E476" s="78" t="s">
        <v>666</v>
      </c>
      <c r="F476" s="709">
        <f>'Cpts AR +indép + Sommaire'!K73</f>
        <v>7</v>
      </c>
      <c r="G476" s="709">
        <f>'Cpts AR +indép + Sommaire'!L73</f>
        <v>3</v>
      </c>
      <c r="H476" s="709">
        <f>F476*G476</f>
        <v>21</v>
      </c>
      <c r="I476" s="1350">
        <v>4</v>
      </c>
      <c r="J476" s="1343">
        <v>10</v>
      </c>
      <c r="K476" s="31" t="b">
        <f>IF(AND(F476&gt;=I476,F476&lt;=J476),TRUE,FALSE)</f>
        <v>1</v>
      </c>
      <c r="L476" s="31"/>
      <c r="M476" s="31"/>
      <c r="N476" s="31"/>
      <c r="O476" s="1351"/>
      <c r="P476" s="1374">
        <v>11</v>
      </c>
      <c r="Q476" s="1375">
        <v>11</v>
      </c>
      <c r="R476" s="1351" t="b">
        <f>IF(AND(F476&gt;=P476,F476&lt;=Q476),TRUE,FALSE)</f>
        <v>0</v>
      </c>
      <c r="S476" s="1350">
        <v>7</v>
      </c>
      <c r="T476" s="1343">
        <v>10</v>
      </c>
      <c r="U476" s="1351" t="b">
        <f>IF(AND(F476&gt;=S476,F476&lt;=T476),TRUE,FALSE)</f>
        <v>1</v>
      </c>
      <c r="V476" s="807"/>
      <c r="W476" s="821"/>
      <c r="X476" s="822"/>
      <c r="Y476" s="821"/>
      <c r="Z476" s="822"/>
      <c r="AA476" s="821"/>
      <c r="AB476" s="822"/>
      <c r="AD476" s="10"/>
      <c r="AE476" s="10"/>
      <c r="AF476" s="10"/>
      <c r="AG476" s="832">
        <f>IF(K476=TRUE,H476,0)</f>
        <v>21</v>
      </c>
      <c r="AH476" s="832">
        <f>IF(R476=TRUE,H476,0)</f>
        <v>0</v>
      </c>
      <c r="AI476" s="832">
        <f>IF(U476=TRUE,H476,0)</f>
        <v>21</v>
      </c>
      <c r="AJ476" s="1490">
        <f t="shared" ref="AJ476:AJ477" si="976">IF(OR(I476=11,A476="F"),0,G476*I476)</f>
        <v>12</v>
      </c>
      <c r="AK476" s="1490">
        <f t="shared" ref="AK476:AK477" si="977">IF(OR(J476=11,A476="F"),0,G476*J476)</f>
        <v>30</v>
      </c>
      <c r="AL476" s="1490">
        <f t="shared" ref="AL476:AL477" si="978">IF(OR(P476=11,A476="F"),0,G476*P476)</f>
        <v>0</v>
      </c>
      <c r="AM476" s="1490">
        <f t="shared" ref="AM476:AM477" si="979">IF(OR(Q476=11,A476="F"),0,G476*Q476)</f>
        <v>0</v>
      </c>
      <c r="AN476" s="1490">
        <f t="shared" ref="AN476:AN477" si="980">IF(OR(S476=11,A476="F"),0,S476*G476)</f>
        <v>21</v>
      </c>
      <c r="AO476" s="1490">
        <f t="shared" ref="AO476:AO477" si="981">IF(OR(T476=11,A476="F"),0,T476*G476)</f>
        <v>30</v>
      </c>
    </row>
    <row r="477" spans="1:78" ht="19" x14ac:dyDescent="0.2">
      <c r="B477" s="1700"/>
      <c r="C477" s="38" t="s">
        <v>242</v>
      </c>
      <c r="D477" s="25"/>
      <c r="E477" s="48"/>
      <c r="F477" s="27"/>
      <c r="G477" s="27"/>
      <c r="H477" s="27">
        <f>F477*G477</f>
        <v>0</v>
      </c>
      <c r="I477" s="1374">
        <v>11</v>
      </c>
      <c r="J477" s="1375">
        <v>11</v>
      </c>
      <c r="K477" s="31" t="b">
        <f>IF(AND(F477&gt;=I477,F477&lt;=J477),TRUE,FALSE)</f>
        <v>0</v>
      </c>
      <c r="L477" s="31"/>
      <c r="M477" s="31"/>
      <c r="N477" s="31"/>
      <c r="O477" s="1351"/>
      <c r="P477" s="1374">
        <v>11</v>
      </c>
      <c r="Q477" s="1375">
        <v>11</v>
      </c>
      <c r="R477" s="1351" t="b">
        <f>IF(AND(F477&gt;=P477,F477&lt;=Q477),TRUE,FALSE)</f>
        <v>0</v>
      </c>
      <c r="S477" s="1374">
        <v>11</v>
      </c>
      <c r="T477" s="1375">
        <v>11</v>
      </c>
      <c r="U477" s="1351" t="b">
        <f>IF(AND(F477&gt;=S477,F477&lt;=T477),TRUE,FALSE)</f>
        <v>0</v>
      </c>
      <c r="V477" s="807"/>
      <c r="W477" s="821"/>
      <c r="X477" s="822"/>
      <c r="Y477" s="821"/>
      <c r="Z477" s="822"/>
      <c r="AA477" s="821"/>
      <c r="AB477" s="822"/>
      <c r="AD477" s="10"/>
      <c r="AE477" s="10"/>
      <c r="AF477" s="10"/>
      <c r="AG477" s="832">
        <f>IF(K477=TRUE,H477,0)</f>
        <v>0</v>
      </c>
      <c r="AH477" s="832">
        <f>IF(R477=TRUE,H477,0)</f>
        <v>0</v>
      </c>
      <c r="AI477" s="832">
        <f>IF(U477=TRUE,H477,0)</f>
        <v>0</v>
      </c>
      <c r="AJ477" s="1490">
        <f t="shared" si="976"/>
        <v>0</v>
      </c>
      <c r="AK477" s="1490">
        <f t="shared" si="977"/>
        <v>0</v>
      </c>
      <c r="AL477" s="1490">
        <f t="shared" si="978"/>
        <v>0</v>
      </c>
      <c r="AM477" s="1490">
        <f t="shared" si="979"/>
        <v>0</v>
      </c>
      <c r="AN477" s="1490">
        <f t="shared" si="980"/>
        <v>0</v>
      </c>
      <c r="AO477" s="1490">
        <f t="shared" si="981"/>
        <v>0</v>
      </c>
      <c r="AV477" s="7"/>
      <c r="AX477" s="7"/>
      <c r="AY477" s="734"/>
      <c r="AZ477" s="734"/>
      <c r="BA477" s="87"/>
      <c r="BB477" s="442"/>
      <c r="BC477" s="89"/>
      <c r="BD477" s="446"/>
      <c r="BE477" s="446"/>
      <c r="BF477" s="89"/>
      <c r="BG477" s="447"/>
      <c r="BH477" s="447"/>
      <c r="BI477" s="443"/>
      <c r="BN477" s="25"/>
      <c r="BP477" s="7"/>
      <c r="BQ477" s="7"/>
      <c r="BR477" s="7"/>
      <c r="BS477" s="7"/>
      <c r="BT477" s="7"/>
      <c r="BU477" s="7"/>
      <c r="BV477" s="7"/>
      <c r="BW477" s="7"/>
      <c r="BX477" s="7"/>
      <c r="BY477" s="7"/>
      <c r="BZ477" s="7"/>
    </row>
    <row r="478" spans="1:78" ht="52" thickBot="1" x14ac:dyDescent="0.25">
      <c r="B478" s="1700"/>
      <c r="C478" s="716" t="s">
        <v>610</v>
      </c>
      <c r="D478" s="717" t="str">
        <f>_xlfn.XLOOKUP(H478,H476:H477,D476:D477)</f>
        <v>Est-ce que le nouveau ou nouvelle conjoint·e vous demande de respecter les désirs et choix de votre enfant ?</v>
      </c>
      <c r="E478" s="718" t="str">
        <f>_xlfn.XLOOKUP(H478,H476:H477,E476:E477)</f>
        <v>Le nouveau conjoint.e vous demande de respecter les désirs et choix de l'enfant</v>
      </c>
      <c r="F478" s="719"/>
      <c r="G478" s="719"/>
      <c r="H478" s="713">
        <f>IF(AND(K476=TRUE,K477=FALSE),H476,IF(AND(K476=FALSE,K477=TRUE),H477,MAX(H476,H477)))</f>
        <v>21</v>
      </c>
      <c r="I478" s="1353"/>
      <c r="J478" s="720"/>
      <c r="K478" s="721" t="b">
        <f>IF(AND(K476=FALSE,K477=FALSE),FALSE,TRUE)</f>
        <v>1</v>
      </c>
      <c r="L478" s="31"/>
      <c r="M478" s="31"/>
      <c r="N478" s="31"/>
      <c r="O478" s="1351"/>
      <c r="P478" s="1353"/>
      <c r="Q478" s="720"/>
      <c r="R478" s="1366" t="b">
        <f>IF(AND(R476=FALSE,R477=FALSE),FALSE,TRUE)</f>
        <v>0</v>
      </c>
      <c r="S478" s="1353"/>
      <c r="T478" s="720"/>
      <c r="U478" s="1366" t="b">
        <f>IF(AND(U476=FALSE,U477=FALSE),FALSE,TRUE)</f>
        <v>1</v>
      </c>
      <c r="V478" s="807"/>
      <c r="W478" s="821"/>
      <c r="X478" s="822"/>
      <c r="Y478" s="821"/>
      <c r="Z478" s="822"/>
      <c r="AA478" s="821"/>
      <c r="AB478" s="822"/>
      <c r="AD478" s="10"/>
      <c r="AE478" s="10"/>
      <c r="AF478" s="10"/>
      <c r="AG478" s="1740">
        <f>IF($K478=TRUE,MAX(AG476:AG477),0)</f>
        <v>21</v>
      </c>
      <c r="AH478" s="1740">
        <f>IF($R478=TRUE,MAX(AH476:AH477),0)</f>
        <v>0</v>
      </c>
      <c r="AI478" s="1740">
        <f>IF($U478=TRUE,MAX(AI476:AI477),0)</f>
        <v>21</v>
      </c>
      <c r="AJ478" s="1739">
        <f>MAX(AJ476:AJ477)</f>
        <v>12</v>
      </c>
      <c r="AK478" s="1739">
        <f t="shared" ref="AK478" si="982">MAX(AK476:AK477)</f>
        <v>30</v>
      </c>
      <c r="AL478" s="1739">
        <f t="shared" ref="AL478" si="983">MAX(AL476:AL477)</f>
        <v>0</v>
      </c>
      <c r="AM478" s="1739">
        <f t="shared" ref="AM478" si="984">MAX(AM476:AM477)</f>
        <v>0</v>
      </c>
      <c r="AN478" s="1739">
        <f t="shared" ref="AN478" si="985">MAX(AN476:AN477)</f>
        <v>21</v>
      </c>
      <c r="AO478" s="1739">
        <f t="shared" ref="AO478" si="986">MAX(AO476:AO477)</f>
        <v>30</v>
      </c>
      <c r="AV478" s="7"/>
      <c r="AX478" s="7"/>
      <c r="AY478" s="734"/>
      <c r="AZ478" s="734"/>
      <c r="BA478" s="87"/>
      <c r="BB478" s="442"/>
      <c r="BC478" s="89"/>
      <c r="BD478" s="446"/>
      <c r="BE478" s="446"/>
      <c r="BF478" s="89"/>
      <c r="BG478" s="447"/>
      <c r="BH478" s="447"/>
      <c r="BI478" s="443"/>
      <c r="BN478" s="25"/>
      <c r="BP478" s="7"/>
      <c r="BQ478" s="7"/>
      <c r="BR478" s="7"/>
      <c r="BS478" s="7"/>
      <c r="BT478" s="7"/>
      <c r="BU478" s="7"/>
      <c r="BV478" s="7"/>
      <c r="BW478" s="7"/>
      <c r="BX478" s="7"/>
      <c r="BY478" s="7"/>
      <c r="BZ478" s="7"/>
    </row>
    <row r="479" spans="1:78" ht="52" thickBot="1" x14ac:dyDescent="0.25">
      <c r="B479" s="1700"/>
      <c r="C479" s="722" t="s">
        <v>616</v>
      </c>
      <c r="D479" s="723"/>
      <c r="E479" s="723" t="str">
        <f>IF(H479=H475,E475,E478)</f>
        <v>Le nouveau conjoint.e vous demande de respecter les désirs et choix de l'enfant</v>
      </c>
      <c r="F479" s="724"/>
      <c r="G479" s="724"/>
      <c r="H479" s="724">
        <f>IF(AND(K475=TRUE,K478=FALSE),H475,IF(AND(K475=FALSE,K478=TRUE),H478,IF(AND(K475=TRUE,K478=TRUE),H475+H478,MAX(H475,H478))))</f>
        <v>42</v>
      </c>
      <c r="I479" s="1354"/>
      <c r="J479" s="725"/>
      <c r="K479" s="726" t="b">
        <f>IF(AND(K475=FALSE,K478=FALSE),FALSE,TRUE)</f>
        <v>1</v>
      </c>
      <c r="L479" s="1338"/>
      <c r="M479" s="1338"/>
      <c r="N479" s="1338"/>
      <c r="O479" s="1355"/>
      <c r="P479" s="1354"/>
      <c r="Q479" s="725"/>
      <c r="R479" s="726" t="b">
        <f>IF(AND(R475=FALSE,R478=FALSE),FALSE,TRUE)</f>
        <v>0</v>
      </c>
      <c r="S479" s="1354"/>
      <c r="T479" s="725"/>
      <c r="U479" s="726" t="b">
        <f>IF(AND(U475=FALSE,U478=FALSE),FALSE,TRUE)</f>
        <v>1</v>
      </c>
      <c r="V479" s="807"/>
      <c r="W479" s="821" t="str">
        <f>IF(K479=TRUE,"V","F")</f>
        <v>V</v>
      </c>
      <c r="X479" s="822"/>
      <c r="Y479" s="821" t="str">
        <f>IF(R479=TRUE,"V","F")</f>
        <v>F</v>
      </c>
      <c r="Z479" s="822"/>
      <c r="AA479" s="821" t="str">
        <f>IF(U479=TRUE,"V","F")</f>
        <v>V</v>
      </c>
      <c r="AB479" s="822"/>
      <c r="AC479" t="str">
        <f>IF(OR(W479="V",Y479="V"),IF(H478&gt;H475,"Le NC contribue plus que le coparent","Le coparent joue un plus grand rôle que le NC"),"pas de contexte significatif de la part du coparent et NC")</f>
        <v>Le coparent joue un plus grand rôle que le NC</v>
      </c>
      <c r="AD479" s="10"/>
      <c r="AE479" s="10"/>
      <c r="AF479" s="10"/>
      <c r="AG479" s="591">
        <f>IF(AND($K475=TRUE,$K478=FALSE),AG475,IF(AND($K475=FALSE,$K478=TRUE),AG478,IF(AND($K475=TRUE,$K478=TRUE),AG475+AG478,0)))</f>
        <v>42</v>
      </c>
      <c r="AH479" s="591">
        <f>IF(AND($R475=TRUE,$R478=FALSE),AH475,IF(AND($R475=FALSE,$R478=TRUE),AH478,IF(AND($R475=TRUE,$R478=TRUE),AH475+AH478,0)))</f>
        <v>0</v>
      </c>
      <c r="AI479" s="591">
        <f>IF(AND($U475=TRUE,$U478=FALSE),AI475,IF(AND($U475=FALSE,$U478=TRUE),AI478,IF(AND($U475=TRUE,$U478=TRUE),AI475+AI478,0)))</f>
        <v>42</v>
      </c>
      <c r="AJ479" s="591">
        <f>IF(AND($K475=TRUE,$K478=FALSE),AJ475,IF(AND($K475=FALSE,$K478=TRUE),AJ478,IF(AND($K475=TRUE,$K478=TRUE),AJ475+AJ478,MAX(AJ475,AJ478))))</f>
        <v>24</v>
      </c>
      <c r="AK479" s="591">
        <f>IF(AND($K475=TRUE,$K478=FALSE),AK475,IF(AND($K475=FALSE,$K478=TRUE),AK478,IF(AND($K475=TRUE,$K478=TRUE),AK475+AK478,MAX(AK475,AK478))))</f>
        <v>60</v>
      </c>
      <c r="AL479" s="591">
        <f t="shared" ref="AL479" si="987">IF(AND($R475=TRUE,$R478=FALSE),AL475,IF(AND($R475=FALSE,$R478=TRUE),AL478,IF(AND($R475=TRUE,$R478=TRUE),AL475+AL478,MAX(AL475,AL478))))</f>
        <v>0</v>
      </c>
      <c r="AM479" s="591">
        <f t="shared" ref="AM479" si="988">IF(AND($R475=TRUE,$R478=FALSE),AM475,IF(AND($R475=FALSE,$R478=TRUE),AM478,IF(AND($R475=TRUE,$R478=TRUE),AM475+AM478,MAX(AM475,AM478))))</f>
        <v>0</v>
      </c>
      <c r="AN479" s="591">
        <f t="shared" ref="AN479" si="989">IF(AND($U475=TRUE,$U478=FALSE),AN475,IF(AND($U475=FALSE,$U478=TRUE),AN478,IF(AND($U475=TRUE,$U478=TRUE),AN475+AN478,MAX(AN475,AN478))))</f>
        <v>33</v>
      </c>
      <c r="AO479" s="591">
        <f t="shared" ref="AO479" si="990">IF(AND($U475=TRUE,$U478=FALSE),AO475,IF(AND($U475=FALSE,$U478=TRUE),AO478,IF(AND($U475=TRUE,$U478=TRUE),AO475+AO478,MAX(AO475,AO478))))</f>
        <v>51</v>
      </c>
      <c r="AV479" s="7"/>
      <c r="AX479" s="7"/>
      <c r="AY479" s="734"/>
      <c r="AZ479" s="734"/>
      <c r="BA479" s="87"/>
      <c r="BB479" s="442"/>
      <c r="BC479" s="89"/>
      <c r="BD479" s="446"/>
      <c r="BE479" s="446"/>
      <c r="BF479" s="89"/>
      <c r="BG479" s="447"/>
      <c r="BH479" s="447"/>
      <c r="BI479" s="443"/>
      <c r="BN479" s="25"/>
      <c r="BP479" s="7"/>
      <c r="BQ479" s="7"/>
      <c r="BR479" s="7"/>
      <c r="BS479" s="7"/>
      <c r="BT479" s="7"/>
      <c r="BU479" s="7"/>
      <c r="BV479" s="7"/>
      <c r="BW479" s="7"/>
      <c r="BX479" s="7"/>
      <c r="BY479" s="7"/>
      <c r="BZ479" s="7"/>
    </row>
    <row r="480" spans="1:78" ht="34" x14ac:dyDescent="0.2">
      <c r="A480" t="str">
        <f>IF(Test_Bible!B326="","F","O")</f>
        <v>F</v>
      </c>
      <c r="B480" s="1700" t="str">
        <f>'Cpts AR +indép + Sommaire'!S73</f>
        <v>Rôle actif de l'enfant</v>
      </c>
      <c r="C480" s="287" t="str">
        <f>'Cpts AR +indép + Sommaire'!O73</f>
        <v>E33</v>
      </c>
      <c r="D480" s="25" t="str">
        <f>'Cpts AR +indép + Sommaire'!P73</f>
        <v>Votre enfant vous reproche de lui manquer de respect en ne respectant pas ses choix, besoins, désirs, rythme, etc.</v>
      </c>
      <c r="E480" s="78" t="s">
        <v>667</v>
      </c>
      <c r="F480" s="709">
        <f>'Cpts AR +indép + Sommaire'!Q73</f>
        <v>0</v>
      </c>
      <c r="G480" s="709">
        <f>'Cpts AR +indép + Sommaire'!R73</f>
        <v>3</v>
      </c>
      <c r="H480" s="709">
        <f>F480*G480</f>
        <v>0</v>
      </c>
      <c r="I480" s="1350">
        <v>4</v>
      </c>
      <c r="J480" s="1343">
        <v>10</v>
      </c>
      <c r="K480" s="31" t="b">
        <f>IF(AND(F480&gt;=I480,F480&lt;=J480),TRUE,FALSE)</f>
        <v>0</v>
      </c>
      <c r="L480" s="31"/>
      <c r="M480" s="31"/>
      <c r="N480" s="31"/>
      <c r="O480" s="1351"/>
      <c r="P480" s="1374">
        <v>11</v>
      </c>
      <c r="Q480" s="1375">
        <v>11</v>
      </c>
      <c r="R480" s="1351" t="b">
        <f>IF(AND(F480&gt;=P480,F480&lt;=Q480),TRUE,FALSE)</f>
        <v>0</v>
      </c>
      <c r="S480" s="1350"/>
      <c r="T480" s="1343"/>
      <c r="U480" s="1351"/>
      <c r="V480" s="807"/>
      <c r="W480" s="821" t="s">
        <v>753</v>
      </c>
      <c r="X480" s="822"/>
      <c r="Y480" s="821"/>
      <c r="Z480" s="822"/>
      <c r="AA480" s="821"/>
      <c r="AB480" s="822"/>
      <c r="AD480" s="10"/>
      <c r="AE480" s="10"/>
      <c r="AF480" s="10"/>
      <c r="AG480" s="832">
        <f>IF($K480=TRUE,H480,0)</f>
        <v>0</v>
      </c>
      <c r="AH480" s="832">
        <f>IF($R480=TRUE,H480,0)</f>
        <v>0</v>
      </c>
      <c r="AI480" s="832"/>
      <c r="AJ480" s="1490">
        <f t="shared" ref="AJ480:AJ481" si="991">IF(OR(I480=11,A480="F"),0,G480*I480)</f>
        <v>0</v>
      </c>
      <c r="AK480" s="1490">
        <f t="shared" ref="AK480:AK481" si="992">IF(OR(J480=11,A480="F"),0,G480*J480)</f>
        <v>0</v>
      </c>
      <c r="AL480" s="1490">
        <f t="shared" ref="AL480:AL481" si="993">IF(OR(P480=11,A480="F"),0,G480*P480)</f>
        <v>0</v>
      </c>
      <c r="AM480" s="1490">
        <f t="shared" ref="AM480:AM481" si="994">IF(OR(Q480=11,A480="F"),0,G480*Q480)</f>
        <v>0</v>
      </c>
      <c r="AN480" s="1490">
        <f t="shared" ref="AN480:AN481" si="995">IF(OR(S480=11,A480="F"),0,S480*G480)</f>
        <v>0</v>
      </c>
      <c r="AO480" s="1490">
        <f t="shared" ref="AO480:AO481" si="996">IF(OR(T480=11,A480="F"),0,T480*G480)</f>
        <v>0</v>
      </c>
      <c r="AV480" s="7"/>
      <c r="AX480" s="7"/>
      <c r="AY480" s="734"/>
      <c r="AZ480" s="734"/>
      <c r="BA480" s="87"/>
      <c r="BB480" s="442"/>
      <c r="BC480" s="89"/>
      <c r="BD480" s="446"/>
      <c r="BE480" s="446"/>
      <c r="BF480" s="89"/>
      <c r="BG480" s="447"/>
      <c r="BH480" s="447"/>
      <c r="BI480" s="443"/>
      <c r="BN480" s="25"/>
      <c r="BP480" s="7"/>
      <c r="BQ480" s="7"/>
      <c r="BR480" s="7"/>
      <c r="BS480" s="7"/>
      <c r="BT480" s="7"/>
      <c r="BU480" s="7"/>
      <c r="BV480" s="7"/>
      <c r="BW480" s="7"/>
      <c r="BX480" s="7"/>
      <c r="BY480" s="7"/>
      <c r="BZ480" s="7"/>
    </row>
    <row r="481" spans="1:78" ht="20" thickBot="1" x14ac:dyDescent="0.25">
      <c r="B481" s="1700"/>
      <c r="C481" s="287" t="s">
        <v>272</v>
      </c>
      <c r="D481" s="25"/>
      <c r="E481" s="78"/>
      <c r="F481" s="709"/>
      <c r="G481" s="708"/>
      <c r="H481" s="709">
        <f>F481*G481</f>
        <v>0</v>
      </c>
      <c r="I481" s="1374">
        <v>11</v>
      </c>
      <c r="J481" s="1375">
        <v>11</v>
      </c>
      <c r="K481" s="31" t="b">
        <f>IF(AND(F481&gt;=I481,F481&lt;=J481),TRUE,FALSE)</f>
        <v>0</v>
      </c>
      <c r="L481" s="31"/>
      <c r="M481" s="31"/>
      <c r="N481" s="31"/>
      <c r="O481" s="1351"/>
      <c r="P481" s="1374">
        <v>11</v>
      </c>
      <c r="Q481" s="1375">
        <v>11</v>
      </c>
      <c r="R481" s="1351" t="b">
        <f>IF(AND(F481&gt;=P481,F481&lt;=Q481),TRUE,FALSE)</f>
        <v>0</v>
      </c>
      <c r="S481" s="1374"/>
      <c r="T481" s="1375"/>
      <c r="U481" s="1351"/>
      <c r="V481" s="807"/>
      <c r="W481" s="821"/>
      <c r="X481" s="822"/>
      <c r="Y481" s="821"/>
      <c r="Z481" s="822"/>
      <c r="AA481" s="821"/>
      <c r="AB481" s="822"/>
      <c r="AD481" s="10"/>
      <c r="AE481" s="10"/>
      <c r="AF481" s="10"/>
      <c r="AG481" s="832">
        <f>IF($K481=TRUE,H481,0)</f>
        <v>0</v>
      </c>
      <c r="AH481" s="832">
        <f>IF($R481=TRUE,H481,0)</f>
        <v>0</v>
      </c>
      <c r="AI481" s="832"/>
      <c r="AJ481" s="1490">
        <f t="shared" si="991"/>
        <v>0</v>
      </c>
      <c r="AK481" s="1490">
        <f t="shared" si="992"/>
        <v>0</v>
      </c>
      <c r="AL481" s="1490">
        <f t="shared" si="993"/>
        <v>0</v>
      </c>
      <c r="AM481" s="1490">
        <f t="shared" si="994"/>
        <v>0</v>
      </c>
      <c r="AN481" s="1490">
        <f t="shared" si="995"/>
        <v>0</v>
      </c>
      <c r="AO481" s="1490">
        <f t="shared" si="996"/>
        <v>0</v>
      </c>
      <c r="AV481" s="7"/>
      <c r="AX481" s="7"/>
      <c r="AY481" s="734"/>
      <c r="AZ481" s="734"/>
      <c r="BA481" s="87"/>
      <c r="BB481" s="442"/>
      <c r="BC481" s="89"/>
      <c r="BD481" s="446"/>
      <c r="BE481" s="446"/>
      <c r="BF481" s="89"/>
      <c r="BG481" s="447"/>
      <c r="BH481" s="447"/>
      <c r="BI481" s="443"/>
      <c r="BN481" s="25"/>
      <c r="BP481" s="7"/>
      <c r="BQ481" s="7"/>
      <c r="BR481" s="7"/>
      <c r="BS481" s="7"/>
      <c r="BT481" s="7"/>
      <c r="BU481" s="7"/>
      <c r="BV481" s="7"/>
      <c r="BW481" s="7"/>
      <c r="BX481" s="7"/>
      <c r="BY481" s="7"/>
      <c r="BZ481" s="7"/>
    </row>
    <row r="482" spans="1:78" ht="35" thickBot="1" x14ac:dyDescent="0.25">
      <c r="B482" s="1700"/>
      <c r="C482" s="727" t="s">
        <v>611</v>
      </c>
      <c r="D482" s="728" t="str">
        <f>_xlfn.XLOOKUP(H482,H480:H481,D480:D481)</f>
        <v>Votre enfant vous reproche de lui manquer de respect en ne respectant pas ses choix, besoins, désirs, rythme, etc.</v>
      </c>
      <c r="E482" s="728" t="str">
        <f>_xlfn.XLOOKUP(H482,H480:H481,E480:E481)</f>
        <v>reproche de ne pas le respecter</v>
      </c>
      <c r="F482" s="729"/>
      <c r="G482" s="729"/>
      <c r="H482" s="729">
        <f>IF(AND(K480=TRUE,K481=FALSE),H480,IF(AND(K480=FALSE,K481=TRUE),H481,MAX(H480,H481)))</f>
        <v>0</v>
      </c>
      <c r="I482" s="1356"/>
      <c r="J482" s="730"/>
      <c r="K482" s="731" t="b">
        <f>IF(AND(K480=FALSE,K481=FALSE),FALSE,TRUE)</f>
        <v>0</v>
      </c>
      <c r="L482" s="1339"/>
      <c r="M482" s="1339"/>
      <c r="N482" s="1339"/>
      <c r="O482" s="1357"/>
      <c r="P482" s="1356"/>
      <c r="Q482" s="730"/>
      <c r="R482" s="731" t="b">
        <f>IF(AND(R480=FALSE,R481=FALSE),FALSE,TRUE)</f>
        <v>0</v>
      </c>
      <c r="S482" s="1356"/>
      <c r="T482" s="730"/>
      <c r="U482" s="731"/>
      <c r="V482" s="807"/>
      <c r="W482" s="821" t="str">
        <f>IF(K482=TRUE,"V","F")</f>
        <v>F</v>
      </c>
      <c r="X482" s="822"/>
      <c r="Y482" s="821" t="str">
        <f>IF(R482=TRUE,"V","F")</f>
        <v>F</v>
      </c>
      <c r="Z482" s="822"/>
      <c r="AA482" s="821"/>
      <c r="AB482" s="822"/>
      <c r="AD482" s="10"/>
      <c r="AE482" s="10"/>
      <c r="AF482" s="10"/>
      <c r="AG482" s="1742">
        <f>IF(AND($K480=TRUE,$K481=FALSE),AG480,IF(AND($K480=FALSE,$K481=TRUE),AG481,IF(AND($K480=TRUE,$K481=TRUE),MAX(AG480,AG481),0)))</f>
        <v>0</v>
      </c>
      <c r="AH482" s="1742">
        <f>IF(AND($R480=TRUE,$R481=FALSE),AH480,IF(AND($R480=FALSE,$R481=TRUE),AH481,IF(AND($R480=TRUE,$R481=TRUE),MAX(AH480,AH481),0)))</f>
        <v>0</v>
      </c>
      <c r="AI482" s="1742"/>
      <c r="AJ482" s="1742">
        <f>IF(AND($K480=TRUE,$K481=FALSE),AJ480,IF(AND($K480=FALSE,$K481=TRUE),AJ481,IF(AND($K480=TRUE,$K481=TRUE),MAX(AJ480,AJ481),0)))</f>
        <v>0</v>
      </c>
      <c r="AK482" s="1742">
        <f>IF(AND($K480=TRUE,$K481=FALSE),AK480,IF(AND($K480=FALSE,$K481=TRUE),AK481,IF(AND($K480=TRUE,$K481=TRUE),MAX(AK480,AK481),0)))</f>
        <v>0</v>
      </c>
      <c r="AL482" s="1742">
        <f t="shared" ref="AL482" si="997">IF(AND($R480=TRUE,$R481=FALSE),AL480,IF(AND($R480=FALSE,$R481=TRUE),AL481,IF(AND($R480=TRUE,$R481=TRUE),MAX(AL480,AL481),0)))</f>
        <v>0</v>
      </c>
      <c r="AM482" s="1742">
        <f t="shared" ref="AM482" si="998">IF(AND($R480=TRUE,$R481=FALSE),AM480,IF(AND($R480=FALSE,$R481=TRUE),AM481,IF(AND($R480=TRUE,$R481=TRUE),MAX(AM480,AM481),0)))</f>
        <v>0</v>
      </c>
      <c r="AN482" s="1742"/>
      <c r="AO482" s="1742"/>
    </row>
    <row r="483" spans="1:78" ht="68" x14ac:dyDescent="0.2">
      <c r="B483" s="1700"/>
      <c r="D483" s="386" t="s">
        <v>273</v>
      </c>
      <c r="E483" s="705"/>
      <c r="F483" s="439" t="s">
        <v>349</v>
      </c>
      <c r="G483" s="33"/>
      <c r="H483" s="33">
        <f>IF(AND(K479=TRUE,K482=FALSE),H479,IF(AND(K479=FALSE,K482=TRUE),H482,IF(AND(K479=TRUE,K482=TRUE),H479+H482,MAX(H479,H482))))</f>
        <v>42</v>
      </c>
      <c r="I483" s="1358"/>
      <c r="J483" s="440"/>
      <c r="K483" s="1341"/>
      <c r="L483" s="1342" t="str">
        <f>IF(AND(K482=TRUE,K479=TRUE),E482,"")</f>
        <v/>
      </c>
      <c r="M483" s="1342" t="str">
        <f>IF(AND(K479=TRUE,K482=FALSE),"Bien que le parent "&amp;E479&amp;" l'enfant ne semble pas s'ingérer","")</f>
        <v>Bien que le parent Le nouveau conjoint.e vous demande de respecter les désirs et choix de l'enfant l'enfant ne semble pas s'ingérer</v>
      </c>
      <c r="N483" s="1342" t="str">
        <f>IF(AND(K479=FALSE,K482=TRUE),E482&amp;" sans signe de la participation du parent favorisé et|ou nouveau conjoint.e","")</f>
        <v/>
      </c>
      <c r="O483" s="1359" t="str">
        <f>IF(AND(K479=FALSE,K482=FALSE),"aucun comportement significatif de cette nature","")</f>
        <v/>
      </c>
      <c r="P483" s="1358"/>
      <c r="Q483" s="440"/>
      <c r="R483" s="1367"/>
      <c r="S483" s="1358"/>
      <c r="T483" s="440"/>
      <c r="U483" s="1367"/>
      <c r="V483" s="145"/>
      <c r="W483" s="823"/>
      <c r="X483" s="824">
        <f>IF(AND(W479="V",W482="V"),2,IF(OR(W479="V",W482="V"),1,0))</f>
        <v>1</v>
      </c>
      <c r="Y483" s="823"/>
      <c r="Z483" s="824">
        <f>IF(OR(Y479="V",Y482="V"),1,0)</f>
        <v>0</v>
      </c>
      <c r="AA483" s="823"/>
      <c r="AB483" s="824"/>
      <c r="AD483" s="10"/>
      <c r="AE483" s="10"/>
      <c r="AF483" s="10"/>
      <c r="AG483" s="1738">
        <f>IF(AND($W479="V",$W482="F"),AG479,IF(AND($W479="F",$W482="V"),AG482,IF(AND($W479="V",$W482="V"),AG479+AG482,0)))</f>
        <v>42</v>
      </c>
      <c r="AH483" s="1738">
        <f>IF(AND($Y479="V",$Y482="F"),AH479,IF(AND($Y479="F",$Y482="V"),AH482,IF(AND($Y479="V",$Y482="V"),AH479+AH482,0)))</f>
        <v>0</v>
      </c>
      <c r="AI483" s="1738"/>
      <c r="AJ483" s="1738">
        <f>IF(AND($W479="V",$W482="F"),AJ479,IF(AND($W479="F",$W482="V"),AJ482,IF(AND($W479="V",$W482="V"),AJ479+AJ482,0)))</f>
        <v>24</v>
      </c>
      <c r="AK483" s="1738">
        <f>IF(AND($W479="V",$W482="F"),AK479,IF(AND($W479="F",$W482="V"),AK482,IF(AND($W479="V",$W482="V"),AK479+AK482,0)))</f>
        <v>60</v>
      </c>
      <c r="AL483" s="1738">
        <f>IF(AND($Y479="V",$Y482="F"),AL479,IF(AND($Y479="F",$Y482="V"),AL482,IF(AND($Y479="V",$Y482="V"),AL479+AL482,0)))</f>
        <v>0</v>
      </c>
      <c r="AM483" s="1738">
        <f>IF(AND($Y479="V",$Y482="F"),AM479,IF(AND($Y479="F",$Y482="V"),AM482,IF(AND($Y479="V",$Y482="V"),AM479+AM482,0)))</f>
        <v>0</v>
      </c>
      <c r="AN483" s="1738"/>
      <c r="AO483" s="1738"/>
    </row>
    <row r="484" spans="1:78" ht="16" x14ac:dyDescent="0.2">
      <c r="B484" s="1700"/>
      <c r="C484" t="s">
        <v>238</v>
      </c>
      <c r="I484" s="122"/>
      <c r="L484" s="32"/>
      <c r="M484" s="32"/>
      <c r="N484" s="32"/>
      <c r="O484" s="1379"/>
      <c r="P484" s="122"/>
      <c r="R484" s="292"/>
      <c r="S484" s="122"/>
      <c r="U484" s="292"/>
      <c r="V484" s="32"/>
      <c r="W484" s="821"/>
      <c r="X484" s="822"/>
      <c r="Y484" s="821"/>
      <c r="Z484" s="822"/>
      <c r="AA484" s="821"/>
      <c r="AB484" s="822"/>
      <c r="AD484" s="10"/>
      <c r="AE484" s="10"/>
      <c r="AF484" s="10"/>
      <c r="AG484" s="832"/>
      <c r="AH484" s="832"/>
      <c r="AI484" s="832"/>
      <c r="AJ484" s="1490"/>
      <c r="AK484" s="1490"/>
      <c r="AL484" s="1490"/>
      <c r="AM484" s="1490"/>
      <c r="AN484" s="1490"/>
      <c r="AO484" s="1490"/>
    </row>
    <row r="485" spans="1:78" ht="19" x14ac:dyDescent="0.2">
      <c r="B485" s="1700"/>
      <c r="C485" s="825"/>
      <c r="D485" s="829"/>
      <c r="E485" s="826"/>
      <c r="F485" s="830"/>
      <c r="G485" s="830"/>
      <c r="H485" s="830">
        <f>F485*G485</f>
        <v>0</v>
      </c>
      <c r="I485" s="1374">
        <v>11</v>
      </c>
      <c r="J485" s="1375">
        <v>11</v>
      </c>
      <c r="K485" s="31" t="b">
        <f>IF(AND(F485&gt;=I485,F485&lt;=J485),TRUE,FALSE)</f>
        <v>0</v>
      </c>
      <c r="L485" s="26"/>
      <c r="M485" s="26"/>
      <c r="N485" s="26"/>
      <c r="O485" s="1360"/>
      <c r="P485" s="1374">
        <v>11</v>
      </c>
      <c r="Q485" s="1375">
        <v>11</v>
      </c>
      <c r="R485" s="1351" t="b">
        <f>IF(AND(F485&gt;=P485,F485&lt;=Q485),TRUE,FALSE)</f>
        <v>0</v>
      </c>
      <c r="S485" s="1374">
        <v>11</v>
      </c>
      <c r="T485" s="1375">
        <v>11</v>
      </c>
      <c r="U485" s="1351" t="b">
        <f>IF(AND(F485&gt;=S485,F485&lt;=T485),TRUE,FALSE)</f>
        <v>0</v>
      </c>
      <c r="V485" s="32"/>
      <c r="W485" s="821"/>
      <c r="X485" s="822"/>
      <c r="Y485" s="821"/>
      <c r="Z485" s="822"/>
      <c r="AA485" s="821"/>
      <c r="AB485" s="822"/>
      <c r="AD485" s="10"/>
      <c r="AE485" s="10"/>
      <c r="AF485" s="10"/>
      <c r="AG485" s="832">
        <f>IF($K485=TRUE,H485,0)</f>
        <v>0</v>
      </c>
      <c r="AH485" s="832">
        <f>IF($R485=TRUE,H485,0)</f>
        <v>0</v>
      </c>
      <c r="AI485" s="832">
        <f>IF($U485=TRUE,H485,0)</f>
        <v>0</v>
      </c>
      <c r="AJ485" s="1490">
        <f t="shared" ref="AJ485:AJ486" si="999">IF(OR(I485=11,A485="F"),0,G485*I485)</f>
        <v>0</v>
      </c>
      <c r="AK485" s="1490">
        <f t="shared" ref="AK485:AK486" si="1000">IF(OR(J485=11,A485="F"),0,G485*J485)</f>
        <v>0</v>
      </c>
      <c r="AL485" s="1490">
        <f t="shared" ref="AL485:AL486" si="1001">IF(OR(P485=11,A485="F"),0,G485*P485)</f>
        <v>0</v>
      </c>
      <c r="AM485" s="1490">
        <f t="shared" ref="AM485:AM486" si="1002">IF(OR(Q485=11,A485="F"),0,G485*Q485)</f>
        <v>0</v>
      </c>
      <c r="AN485" s="1490">
        <f t="shared" ref="AN485:AN486" si="1003">IF(OR(S485=11,A485="F"),0,S485*G485)</f>
        <v>0</v>
      </c>
      <c r="AO485" s="1490">
        <f t="shared" ref="AO485:AO486" si="1004">IF(OR(T485=11,A485="F"),0,T485*G485)</f>
        <v>0</v>
      </c>
    </row>
    <row r="486" spans="1:78" ht="20" thickBot="1" x14ac:dyDescent="0.25">
      <c r="B486" s="1700"/>
      <c r="C486" s="825"/>
      <c r="D486" s="829"/>
      <c r="E486" s="826"/>
      <c r="F486" s="830"/>
      <c r="G486" s="830"/>
      <c r="H486" s="830">
        <f>F486*G486</f>
        <v>0</v>
      </c>
      <c r="I486" s="1374">
        <v>11</v>
      </c>
      <c r="J486" s="1375">
        <v>11</v>
      </c>
      <c r="K486" s="31" t="b">
        <f>IF(AND(F486&gt;=I486,F486&lt;=J486),TRUE,FALSE)</f>
        <v>0</v>
      </c>
      <c r="L486" s="26"/>
      <c r="M486" s="26"/>
      <c r="N486" s="26"/>
      <c r="O486" s="1360"/>
      <c r="P486" s="1374">
        <v>11</v>
      </c>
      <c r="Q486" s="1375">
        <v>11</v>
      </c>
      <c r="R486" s="1351" t="b">
        <f>IF(AND(F486&gt;=P486,F486&lt;=Q486),TRUE,FALSE)</f>
        <v>0</v>
      </c>
      <c r="S486" s="1374">
        <v>11</v>
      </c>
      <c r="T486" s="1375">
        <v>11</v>
      </c>
      <c r="U486" s="1351" t="b">
        <f>IF(AND(F486&gt;=S486,F486&lt;=T486),TRUE,FALSE)</f>
        <v>0</v>
      </c>
      <c r="W486" s="821"/>
      <c r="X486" s="822"/>
      <c r="Y486" s="821"/>
      <c r="Z486" s="822"/>
      <c r="AA486" s="821"/>
      <c r="AB486" s="822"/>
      <c r="AD486" s="10"/>
      <c r="AE486" s="10"/>
      <c r="AF486" s="10"/>
      <c r="AG486" s="832">
        <f>IF($K486=TRUE,H486,0)</f>
        <v>0</v>
      </c>
      <c r="AH486" s="832">
        <f>IF($R486=TRUE,H486,0)</f>
        <v>0</v>
      </c>
      <c r="AI486" s="832">
        <f>IF($U486=TRUE,H486,0)</f>
        <v>0</v>
      </c>
      <c r="AJ486" s="1490">
        <f t="shared" si="999"/>
        <v>0</v>
      </c>
      <c r="AK486" s="1490">
        <f t="shared" si="1000"/>
        <v>0</v>
      </c>
      <c r="AL486" s="1490">
        <f t="shared" si="1001"/>
        <v>0</v>
      </c>
      <c r="AM486" s="1490">
        <f t="shared" si="1002"/>
        <v>0</v>
      </c>
      <c r="AN486" s="1490">
        <f t="shared" si="1003"/>
        <v>0</v>
      </c>
      <c r="AO486" s="1490">
        <f t="shared" si="1004"/>
        <v>0</v>
      </c>
    </row>
    <row r="487" spans="1:78" ht="22" thickBot="1" x14ac:dyDescent="0.25">
      <c r="B487" s="1700"/>
      <c r="D487" s="16"/>
      <c r="E487" s="16"/>
      <c r="F487" s="67"/>
      <c r="G487" s="438"/>
      <c r="H487" s="33">
        <f>IF(AND(K485=TRUE,K486=FALSE),H485,IF(AND(K485=FALSE,K486=TRUE),H486,MAX(H485,H486)))</f>
        <v>0</v>
      </c>
      <c r="I487" s="1371"/>
      <c r="J487" s="1372"/>
      <c r="K487" s="1378" t="b">
        <f>IF(AND(K485=FALSE,K486=FALSE),FALSE,TRUE)</f>
        <v>0</v>
      </c>
      <c r="L487" s="1361"/>
      <c r="M487" s="1362"/>
      <c r="N487" s="1362"/>
      <c r="O487" s="1363"/>
      <c r="P487" s="1371"/>
      <c r="Q487" s="1372"/>
      <c r="R487" s="1378" t="b">
        <f>IF(AND(R485=FALSE,R486=FALSE),FALSE,TRUE)</f>
        <v>0</v>
      </c>
      <c r="S487" s="1383"/>
      <c r="T487" s="1384"/>
      <c r="U487" s="1385" t="b">
        <f>IF(AND(U485=FALSE,U486=FALSE),FALSE,TRUE)</f>
        <v>0</v>
      </c>
      <c r="V487" s="809"/>
      <c r="W487" s="1315" t="str">
        <f>IF(K487=TRUE,"V","F")</f>
        <v>F</v>
      </c>
      <c r="X487" s="1316"/>
      <c r="Y487" s="1315" t="str">
        <f>IF(R487=TRUE,"V","F")</f>
        <v>F</v>
      </c>
      <c r="Z487" s="1316"/>
      <c r="AA487" s="1315" t="str">
        <f>IF(U487=TRUE,"V","F")</f>
        <v>F</v>
      </c>
      <c r="AB487" s="1316"/>
      <c r="AD487" s="10"/>
      <c r="AE487" s="10"/>
      <c r="AF487" s="10"/>
      <c r="AG487" s="1742">
        <f>IF(AND($K485=TRUE,$K486=FALSE),AG485,IF(AND($K485=FALSE,$K486=TRUE),AG486,MAX(AG485,AG486)))</f>
        <v>0</v>
      </c>
      <c r="AH487" s="1742">
        <f>IF(AND($R485=TRUE,$R486=FALSE),AH485,IF(AND($R485=FALSE,$R486=TRUE),AH486,MAX(AH485,AH486)))</f>
        <v>0</v>
      </c>
      <c r="AI487" s="1742">
        <f>IF(AND($U485=TRUE,$U486=FALSE),AI485,IF(AND($U485=FALSE,$U486=TRUE),AI486,MAX(AI485,AI486)))</f>
        <v>0</v>
      </c>
      <c r="AJ487" s="1742">
        <f>IF(AND($K485=TRUE,$K486=FALSE),AJ485,IF(AND($K485=FALSE,$K486=TRUE),AJ486,MAX(AJ485,AJ486)))</f>
        <v>0</v>
      </c>
      <c r="AK487" s="1742">
        <f>IF(AND($K485=TRUE,$K486=FALSE),AK485,IF(AND($K485=FALSE,$K486=TRUE),AK486,MAX(AK485,AK486)))</f>
        <v>0</v>
      </c>
      <c r="AL487" s="1742">
        <f>IF(AND($R485=TRUE,$R486=FALSE),AL485,IF(AND($R485=FALSE,$R486=TRUE),AL486,MAX(AL485,AL486)))</f>
        <v>0</v>
      </c>
      <c r="AM487" s="1742">
        <f>IF(AND($R485=TRUE,$R486=FALSE),AM485,IF(AND($R485=FALSE,$R486=TRUE),AM486,MAX(AM485,AM486)))</f>
        <v>0</v>
      </c>
      <c r="AN487" s="1742">
        <f>IF(AND($U485=TRUE,$U486=FALSE),AN485,IF(AND($U485=FALSE,$U486=TRUE),AN486,MAX(AN485,AN486)))</f>
        <v>0</v>
      </c>
      <c r="AO487" s="1742">
        <f>IF(AND($U485=TRUE,$U486=FALSE),AO485,IF(AND($U485=FALSE,$U486=TRUE),AO486,MAX(AO485,AO486)))</f>
        <v>0</v>
      </c>
    </row>
    <row r="488" spans="1:78" ht="27" thickBot="1" x14ac:dyDescent="0.35">
      <c r="D488" s="16"/>
      <c r="E488" s="16"/>
      <c r="F488" s="67"/>
      <c r="G488" s="438"/>
      <c r="H488" s="438"/>
      <c r="I488" s="8"/>
      <c r="J488" s="8"/>
      <c r="K488" s="808"/>
      <c r="L488" s="809"/>
      <c r="M488" s="809"/>
      <c r="N488" s="809"/>
      <c r="O488" s="809"/>
      <c r="P488" s="809"/>
      <c r="Q488" s="809"/>
      <c r="R488" s="809"/>
      <c r="S488" s="809"/>
      <c r="T488" s="809"/>
      <c r="U488" s="809"/>
      <c r="V488" s="809"/>
      <c r="W488" s="1376"/>
      <c r="X488" s="1377">
        <f>IF(AND(W487="V",W479="V"),X483-1,X483)</f>
        <v>1</v>
      </c>
      <c r="Y488" s="1376"/>
      <c r="Z488" s="1377">
        <f>IF(OR(Y479="V",Y482="V",Y487="V"),1,0)</f>
        <v>0</v>
      </c>
      <c r="AA488" s="1376"/>
      <c r="AB488" s="1377">
        <f>IF(AA479="V",1,IF(AA487="V",1,0))</f>
        <v>1</v>
      </c>
      <c r="AD488" s="10">
        <f>X488</f>
        <v>1</v>
      </c>
      <c r="AE488" s="10">
        <f>Z488</f>
        <v>0</v>
      </c>
      <c r="AF488" s="10">
        <f>AB488</f>
        <v>1</v>
      </c>
      <c r="AG488" s="1741">
        <f>IF($W487="F",AG483,AG483+AG487)</f>
        <v>42</v>
      </c>
      <c r="AH488" s="1741">
        <f>IF($Y487="F",AH483,AH483+AH487)</f>
        <v>0</v>
      </c>
      <c r="AI488" s="1741">
        <f>IF(AND($AA479="V",$AA487="F"),AI479,IF(AND($AA479="F",$AA487="V"),AI487,IF(AND($AA479="V",$AA487="V"),AI479+AI487,0)))</f>
        <v>42</v>
      </c>
      <c r="AJ488" s="1741">
        <f>IF($W487="F",AJ483,AJ483+AJ487)</f>
        <v>24</v>
      </c>
      <c r="AK488" s="1741">
        <f t="shared" ref="AK488" si="1005">IF($W487="F",AK483,AK483+AK487)</f>
        <v>60</v>
      </c>
      <c r="AL488" s="1741">
        <f t="shared" ref="AL488" si="1006">IF($Y487="F",AL483,AL483+AL487)</f>
        <v>0</v>
      </c>
      <c r="AM488" s="1741">
        <f t="shared" ref="AM488" si="1007">IF($Y487="F",AM483,AM483+AM487)</f>
        <v>0</v>
      </c>
      <c r="AN488" s="1741">
        <f t="shared" ref="AN488" si="1008">IF(AND($AA479="V",$AA487="F"),AN479,IF(AND($AA479="F",$AA487="V"),AN487,IF(AND($AA479="V",$AA487="V"),AN479+AN487,0)))</f>
        <v>33</v>
      </c>
      <c r="AO488" s="1741">
        <f t="shared" ref="AO488" si="1009">IF(AND($AA479="V",$AA487="F"),AO479,IF(AND($AA479="F",$AA487="V"),AO487,IF(AND($AA479="V",$AA487="V"),AO479+AO487,0)))</f>
        <v>51</v>
      </c>
    </row>
    <row r="489" spans="1:78" x14ac:dyDescent="0.3">
      <c r="D489" s="16"/>
      <c r="E489" s="16"/>
      <c r="F489" s="67"/>
      <c r="G489" s="438"/>
      <c r="H489" s="438"/>
      <c r="I489" s="1344"/>
      <c r="J489" s="1345"/>
      <c r="K489" s="1346"/>
      <c r="L489" s="2603"/>
      <c r="M489" s="2603"/>
      <c r="N489" s="2603"/>
      <c r="O489" s="1347"/>
      <c r="P489" s="1364"/>
      <c r="Q489" s="1346"/>
      <c r="R489" s="1347"/>
      <c r="S489" s="1364"/>
      <c r="T489" s="1346"/>
      <c r="U489" s="1347"/>
      <c r="V489" s="145"/>
      <c r="W489" s="1387"/>
      <c r="X489" s="1388"/>
      <c r="Y489" s="1231"/>
      <c r="Z489" s="1231"/>
      <c r="AA489" s="1231"/>
      <c r="AB489" s="1231"/>
      <c r="AD489" s="10"/>
      <c r="AE489" s="10"/>
      <c r="AF489" s="10"/>
    </row>
    <row r="490" spans="1:78" x14ac:dyDescent="0.3">
      <c r="B490" s="1699">
        <v>24</v>
      </c>
      <c r="D490" s="441" t="str">
        <f>'Cpts AR +indép + Sommaire'!B75</f>
        <v>Demande / force l'enfant à choisir</v>
      </c>
      <c r="E490" s="84"/>
      <c r="F490" s="50"/>
      <c r="G490" s="18"/>
      <c r="H490" s="18"/>
      <c r="I490" s="2595" t="s">
        <v>604</v>
      </c>
      <c r="J490" s="2596"/>
      <c r="K490" s="2596"/>
      <c r="L490" s="2597" t="s">
        <v>1086</v>
      </c>
      <c r="M490" s="2597"/>
      <c r="N490" s="2597"/>
      <c r="O490" s="2598"/>
      <c r="P490" s="2599" t="s">
        <v>603</v>
      </c>
      <c r="Q490" s="2600"/>
      <c r="R490" s="2601"/>
      <c r="S490" s="2590" t="s">
        <v>605</v>
      </c>
      <c r="T490" s="2591"/>
      <c r="U490" s="2592"/>
      <c r="V490" s="15"/>
      <c r="W490" s="817"/>
      <c r="X490" s="817"/>
      <c r="Y490" s="817"/>
      <c r="Z490" s="817"/>
      <c r="AA490" s="817"/>
      <c r="AB490" s="818"/>
      <c r="AD490" s="10"/>
      <c r="AE490" s="10"/>
      <c r="AF490" s="10"/>
      <c r="AG490" s="1386" t="s">
        <v>604</v>
      </c>
      <c r="AH490" s="1386" t="s">
        <v>603</v>
      </c>
      <c r="AI490" s="1386" t="s">
        <v>605</v>
      </c>
      <c r="AJ490" s="2589" t="s">
        <v>604</v>
      </c>
      <c r="AK490" s="2589"/>
      <c r="AL490" s="2589" t="s">
        <v>603</v>
      </c>
      <c r="AM490" s="2589"/>
      <c r="AN490" s="2589" t="s">
        <v>605</v>
      </c>
      <c r="AO490" s="2589"/>
    </row>
    <row r="491" spans="1:78" ht="34" x14ac:dyDescent="0.2">
      <c r="B491" s="1700"/>
      <c r="D491" s="79" t="s">
        <v>779</v>
      </c>
      <c r="E491" s="835" t="s">
        <v>778</v>
      </c>
      <c r="F491" s="26" t="s">
        <v>226</v>
      </c>
      <c r="G491" s="26" t="s">
        <v>22</v>
      </c>
      <c r="H491" s="26" t="s">
        <v>612</v>
      </c>
      <c r="I491" s="1348" t="s">
        <v>269</v>
      </c>
      <c r="J491" s="29" t="s">
        <v>270</v>
      </c>
      <c r="K491" s="29" t="s">
        <v>271</v>
      </c>
      <c r="L491" s="29" t="s">
        <v>363</v>
      </c>
      <c r="M491" s="29" t="s">
        <v>339</v>
      </c>
      <c r="N491" s="29" t="s">
        <v>340</v>
      </c>
      <c r="O491" s="1349" t="s">
        <v>341</v>
      </c>
      <c r="P491" s="1348" t="s">
        <v>269</v>
      </c>
      <c r="Q491" s="29" t="s">
        <v>270</v>
      </c>
      <c r="R491" s="1349" t="s">
        <v>271</v>
      </c>
      <c r="S491" s="1348" t="s">
        <v>269</v>
      </c>
      <c r="T491" s="29" t="s">
        <v>270</v>
      </c>
      <c r="U491" s="1349" t="s">
        <v>271</v>
      </c>
      <c r="V491" s="736"/>
      <c r="W491" s="827" t="s">
        <v>604</v>
      </c>
      <c r="X491" s="828" t="s">
        <v>754</v>
      </c>
      <c r="Y491" s="827" t="s">
        <v>603</v>
      </c>
      <c r="Z491" s="828" t="s">
        <v>755</v>
      </c>
      <c r="AA491" s="827" t="s">
        <v>605</v>
      </c>
      <c r="AB491" s="828" t="s">
        <v>756</v>
      </c>
      <c r="AD491" s="10"/>
      <c r="AE491" s="10"/>
      <c r="AF491" s="10"/>
      <c r="AG491" s="10"/>
      <c r="AH491" s="10"/>
      <c r="AI491" s="10"/>
      <c r="AJ491" s="1490" t="s">
        <v>1058</v>
      </c>
      <c r="AK491" s="1490" t="s">
        <v>1059</v>
      </c>
      <c r="AL491" s="1490" t="s">
        <v>1058</v>
      </c>
      <c r="AM491" s="1490" t="s">
        <v>1059</v>
      </c>
      <c r="AN491" s="1490" t="s">
        <v>1058</v>
      </c>
      <c r="AO491" s="1490" t="s">
        <v>1059</v>
      </c>
    </row>
    <row r="492" spans="1:78" ht="34" x14ac:dyDescent="0.2">
      <c r="A492" t="str">
        <f>IF(Test_Bible!B250="","F","O")</f>
        <v>F</v>
      </c>
      <c r="B492" s="1700" t="str">
        <f>'Cpts AR +indép + Sommaire'!G75</f>
        <v>Chantage affectif, manipulation</v>
      </c>
      <c r="C492" s="379" t="str">
        <f>'Cpts AR +indép + Sommaire'!C75</f>
        <v>PFA36</v>
      </c>
      <c r="D492" s="25" t="str">
        <f>'Cpts AR +indép + Sommaire'!D75</f>
        <v>L’autre parent demande à votre enfant de choisir avec quel parent il veut vivre.</v>
      </c>
      <c r="E492" s="78" t="s">
        <v>668</v>
      </c>
      <c r="F492" s="709">
        <f>'Cpts AR +indép + Sommaire'!E75</f>
        <v>0</v>
      </c>
      <c r="G492" s="709">
        <f>'Cpts AR +indép + Sommaire'!F75</f>
        <v>3</v>
      </c>
      <c r="H492" s="709">
        <f>F492*G492</f>
        <v>0</v>
      </c>
      <c r="I492" s="1350">
        <v>4</v>
      </c>
      <c r="J492" s="1343">
        <v>10</v>
      </c>
      <c r="K492" s="31" t="b">
        <f>IF(AND(F492&gt;=I492,F492&lt;=J492),TRUE,FALSE)</f>
        <v>0</v>
      </c>
      <c r="L492" s="31"/>
      <c r="M492" s="31"/>
      <c r="N492" s="31"/>
      <c r="O492" s="1351"/>
      <c r="P492" s="1350">
        <v>2</v>
      </c>
      <c r="Q492" s="1343">
        <v>7</v>
      </c>
      <c r="R492" s="1351" t="b">
        <f>IF(AND(F492&gt;=P492,F492&lt;=Q492),TRUE,FALSE)</f>
        <v>0</v>
      </c>
      <c r="S492" s="1374">
        <v>11</v>
      </c>
      <c r="T492" s="1375">
        <v>11</v>
      </c>
      <c r="U492" s="1351" t="b">
        <f>IF(AND(F492&gt;=S492,F492&lt;=T492),TRUE,FALSE)</f>
        <v>0</v>
      </c>
      <c r="V492" s="807"/>
      <c r="W492" s="819"/>
      <c r="X492" s="820"/>
      <c r="Y492" s="819"/>
      <c r="Z492" s="820"/>
      <c r="AA492" s="819"/>
      <c r="AB492" s="820"/>
      <c r="AD492" s="10"/>
      <c r="AE492" s="10"/>
      <c r="AF492" s="10"/>
      <c r="AG492" s="832">
        <f>IF($K492=TRUE,H492,0)</f>
        <v>0</v>
      </c>
      <c r="AH492" s="832">
        <f>IF($R492=TRUE,H492,0)</f>
        <v>0</v>
      </c>
      <c r="AI492" s="832">
        <f>IF($U492=TRUE,H492,0)</f>
        <v>0</v>
      </c>
      <c r="AJ492" s="1490">
        <f t="shared" ref="AJ492:AJ493" si="1010">IF(OR(I492=11,A492="F"),0,G492*I492)</f>
        <v>0</v>
      </c>
      <c r="AK492" s="1490">
        <f t="shared" ref="AK492:AK493" si="1011">IF(OR(J492=11,A492="F"),0,G492*J492)</f>
        <v>0</v>
      </c>
      <c r="AL492" s="1490">
        <f t="shared" ref="AL492:AL493" si="1012">IF(OR(P492=11,A492="F"),0,G492*P492)</f>
        <v>0</v>
      </c>
      <c r="AM492" s="1490">
        <f t="shared" ref="AM492:AM493" si="1013">IF(OR(Q492=11,A492="F"),0,G492*Q492)</f>
        <v>0</v>
      </c>
      <c r="AN492" s="1490">
        <f t="shared" ref="AN492:AN493" si="1014">IF(OR(S492=11,A492="F"),0,S492*G492)</f>
        <v>0</v>
      </c>
      <c r="AO492" s="1490">
        <f t="shared" ref="AO492:AO493" si="1015">IF(OR(T492=11,A492="F"),0,T492*G492)</f>
        <v>0</v>
      </c>
    </row>
    <row r="493" spans="1:78" ht="48" x14ac:dyDescent="0.2">
      <c r="A493" t="str">
        <f>IF(Test_Bible!B234="","F","O")</f>
        <v>O</v>
      </c>
      <c r="B493" s="1700" t="str">
        <f>'Cpts AR +indép + Sommaire'!G76</f>
        <v>Interférence lien affectif ou symbolique</v>
      </c>
      <c r="C493" s="379" t="str">
        <f>'Cpts AR +indép + Sommaire'!C76</f>
        <v>PFA30</v>
      </c>
      <c r="D493" s="25" t="str">
        <f>'Cpts AR +indép + Sommaire'!D76</f>
        <v>L’autre parent incite, consciemment ou inconsciemment, votre enfant à choisir entre ses deux parents.</v>
      </c>
      <c r="E493" s="78" t="s">
        <v>350</v>
      </c>
      <c r="F493" s="709">
        <f>'Cpts AR +indép + Sommaire'!E76</f>
        <v>7</v>
      </c>
      <c r="G493" s="709">
        <f>'Cpts AR +indép + Sommaire'!F76</f>
        <v>3</v>
      </c>
      <c r="H493" s="709">
        <f>F493*G493</f>
        <v>21</v>
      </c>
      <c r="I493" s="1350">
        <v>2</v>
      </c>
      <c r="J493" s="1343">
        <v>10</v>
      </c>
      <c r="K493" s="31" t="b">
        <f>IF(AND(F493&gt;=I493,F493&lt;=J493),TRUE,FALSE)</f>
        <v>1</v>
      </c>
      <c r="L493" s="31"/>
      <c r="M493" s="31"/>
      <c r="N493" s="31"/>
      <c r="O493" s="1351"/>
      <c r="P493" s="1350">
        <v>2</v>
      </c>
      <c r="Q493" s="1343">
        <v>7</v>
      </c>
      <c r="R493" s="1351" t="b">
        <f>IF(AND(F493&gt;=P493,F493&lt;=Q493),TRUE,FALSE)</f>
        <v>1</v>
      </c>
      <c r="S493" s="1374">
        <v>11</v>
      </c>
      <c r="T493" s="1375">
        <v>11</v>
      </c>
      <c r="U493" s="1351" t="b">
        <f>IF(AND(F493&gt;=S493,F493&lt;=T493),TRUE,FALSE)</f>
        <v>0</v>
      </c>
      <c r="V493" s="807"/>
      <c r="W493" s="821"/>
      <c r="X493" s="822"/>
      <c r="Y493" s="821"/>
      <c r="Z493" s="822"/>
      <c r="AA493" s="821"/>
      <c r="AB493" s="822"/>
      <c r="AD493" s="10"/>
      <c r="AE493" s="10"/>
      <c r="AF493" s="10"/>
      <c r="AG493" s="832">
        <f>IF($K493=TRUE,H493,0)</f>
        <v>21</v>
      </c>
      <c r="AH493" s="832">
        <f>IF($R493=TRUE,H493,0)</f>
        <v>21</v>
      </c>
      <c r="AI493" s="832">
        <f>IF($U493=TRUE,H493,0)</f>
        <v>0</v>
      </c>
      <c r="AJ493" s="1490">
        <f t="shared" si="1010"/>
        <v>6</v>
      </c>
      <c r="AK493" s="1490">
        <f t="shared" si="1011"/>
        <v>30</v>
      </c>
      <c r="AL493" s="1490">
        <f t="shared" si="1012"/>
        <v>6</v>
      </c>
      <c r="AM493" s="1490">
        <f t="shared" si="1013"/>
        <v>21</v>
      </c>
      <c r="AN493" s="1490">
        <f t="shared" si="1014"/>
        <v>0</v>
      </c>
      <c r="AO493" s="1490">
        <f t="shared" si="1015"/>
        <v>0</v>
      </c>
    </row>
    <row r="494" spans="1:78" ht="34" x14ac:dyDescent="0.2">
      <c r="B494" s="1700"/>
      <c r="C494" s="710" t="s">
        <v>609</v>
      </c>
      <c r="D494" s="711" t="str">
        <f>_xlfn.XLOOKUP(H494,H492:H493,D492:D493)</f>
        <v>L’autre parent incite, consciemment ou inconsciemment, votre enfant à choisir entre ses deux parents.</v>
      </c>
      <c r="E494" s="712" t="str">
        <f>_xlfn.XLOOKUP(H494,H492:H493,E492:E493)</f>
        <v>force l'enfant à choisir</v>
      </c>
      <c r="F494" s="713"/>
      <c r="G494" s="713"/>
      <c r="H494" s="713">
        <f>IF(AND(K492=TRUE,K493=FALSE),H492,IF(AND(K492=FALSE,K493=TRUE),H493,MAX(H492,H493)))</f>
        <v>21</v>
      </c>
      <c r="I494" s="1352"/>
      <c r="J494" s="714"/>
      <c r="K494" s="715" t="b">
        <f>IF(AND(K492=FALSE,K493=FALSE),FALSE,TRUE)</f>
        <v>1</v>
      </c>
      <c r="L494" s="31"/>
      <c r="M494" s="31"/>
      <c r="N494" s="31"/>
      <c r="O494" s="1351"/>
      <c r="P494" s="1352"/>
      <c r="Q494" s="714"/>
      <c r="R494" s="1365" t="b">
        <f>IF(AND(R492=FALSE,R493=FALSE),FALSE,TRUE)</f>
        <v>1</v>
      </c>
      <c r="S494" s="1352"/>
      <c r="T494" s="714"/>
      <c r="U494" s="1365" t="b">
        <f>IF(AND(U492=FALSE,U493=FALSE),FALSE,TRUE)</f>
        <v>0</v>
      </c>
      <c r="V494" s="807"/>
      <c r="W494" s="821"/>
      <c r="X494" s="822"/>
      <c r="Y494" s="821"/>
      <c r="Z494" s="822"/>
      <c r="AA494" s="821"/>
      <c r="AB494" s="822"/>
      <c r="AD494" s="10"/>
      <c r="AE494" s="10"/>
      <c r="AF494" s="10"/>
      <c r="AG494" s="1740">
        <f>IF($K494=TRUE,MAX(AG492:AG493),0)</f>
        <v>21</v>
      </c>
      <c r="AH494" s="1740">
        <f>IF($R494=TRUE,MAX(AH492:AH493),0)</f>
        <v>21</v>
      </c>
      <c r="AI494" s="1740">
        <f>IF($U494=TRUE,MAX(AI492:AI493),0)</f>
        <v>0</v>
      </c>
      <c r="AJ494" s="1739">
        <f>MAX(AJ492:AJ493)</f>
        <v>6</v>
      </c>
      <c r="AK494" s="1739">
        <f t="shared" ref="AK494" si="1016">MAX(AK492:AK493)</f>
        <v>30</v>
      </c>
      <c r="AL494" s="1739">
        <f t="shared" ref="AL494" si="1017">MAX(AL492:AL493)</f>
        <v>6</v>
      </c>
      <c r="AM494" s="1739">
        <f t="shared" ref="AM494" si="1018">MAX(AM492:AM493)</f>
        <v>21</v>
      </c>
      <c r="AN494" s="1739">
        <f t="shared" ref="AN494" si="1019">MAX(AN492:AN493)</f>
        <v>0</v>
      </c>
      <c r="AO494" s="1739">
        <f t="shared" ref="AO494" si="1020">MAX(AO492:AO493)</f>
        <v>0</v>
      </c>
    </row>
    <row r="495" spans="1:78" ht="16" x14ac:dyDescent="0.2">
      <c r="B495" s="1700"/>
      <c r="C495" s="38" t="s">
        <v>242</v>
      </c>
      <c r="D495" s="25"/>
      <c r="E495" s="78"/>
      <c r="F495" s="709"/>
      <c r="G495" s="708"/>
      <c r="H495" s="709">
        <f>F495*G495</f>
        <v>0</v>
      </c>
      <c r="I495" s="1374">
        <v>11</v>
      </c>
      <c r="J495" s="1375">
        <v>11</v>
      </c>
      <c r="K495" s="31" t="b">
        <f>IF(AND(F495&gt;=I495,F495&lt;=J495),TRUE,FALSE)</f>
        <v>0</v>
      </c>
      <c r="L495" s="31"/>
      <c r="M495" s="31"/>
      <c r="N495" s="31"/>
      <c r="O495" s="1351"/>
      <c r="P495" s="1374">
        <v>11</v>
      </c>
      <c r="Q495" s="1375">
        <v>11</v>
      </c>
      <c r="R495" s="1351" t="b">
        <f>IF(AND(F495&gt;=P495,F495&lt;=Q495),TRUE,FALSE)</f>
        <v>0</v>
      </c>
      <c r="S495" s="1374">
        <v>11</v>
      </c>
      <c r="T495" s="1375">
        <v>11</v>
      </c>
      <c r="U495" s="1351" t="b">
        <f>IF(AND(F495&gt;=S495,F495&lt;=T495),TRUE,FALSE)</f>
        <v>0</v>
      </c>
      <c r="V495" s="807"/>
      <c r="W495" s="821"/>
      <c r="X495" s="822"/>
      <c r="Y495" s="821"/>
      <c r="Z495" s="822"/>
      <c r="AA495" s="821"/>
      <c r="AB495" s="822"/>
      <c r="AD495" s="10"/>
      <c r="AE495" s="10"/>
      <c r="AF495" s="10"/>
      <c r="AG495" s="832">
        <f>IF(K495=TRUE,H495,0)</f>
        <v>0</v>
      </c>
      <c r="AH495" s="832">
        <f>IF(R495=TRUE,H495,0)</f>
        <v>0</v>
      </c>
      <c r="AI495" s="832">
        <f>IF(U495=TRUE,H495,0)</f>
        <v>0</v>
      </c>
      <c r="AJ495" s="1490">
        <f t="shared" ref="AJ495:AJ496" si="1021">IF(OR(I495=11,A495="F"),0,G495*I495)</f>
        <v>0</v>
      </c>
      <c r="AK495" s="1490">
        <f t="shared" ref="AK495:AK496" si="1022">IF(OR(J495=11,A495="F"),0,G495*J495)</f>
        <v>0</v>
      </c>
      <c r="AL495" s="1490">
        <f t="shared" ref="AL495:AL496" si="1023">IF(OR(P495=11,A495="F"),0,G495*P495)</f>
        <v>0</v>
      </c>
      <c r="AM495" s="1490">
        <f t="shared" ref="AM495:AM496" si="1024">IF(OR(Q495=11,A495="F"),0,G495*Q495)</f>
        <v>0</v>
      </c>
      <c r="AN495" s="1490">
        <f t="shared" ref="AN495:AN496" si="1025">IF(OR(S495=11,A495="F"),0,S495*G495)</f>
        <v>0</v>
      </c>
      <c r="AO495" s="1490">
        <f t="shared" ref="AO495:AO496" si="1026">IF(OR(T495=11,A495="F"),0,T495*G495)</f>
        <v>0</v>
      </c>
    </row>
    <row r="496" spans="1:78" ht="16" x14ac:dyDescent="0.2">
      <c r="B496" s="1700"/>
      <c r="C496" s="38" t="s">
        <v>242</v>
      </c>
      <c r="D496" s="25"/>
      <c r="E496" s="48"/>
      <c r="F496" s="27"/>
      <c r="G496" s="27"/>
      <c r="H496" s="27">
        <f>F496*G496</f>
        <v>0</v>
      </c>
      <c r="I496" s="1374">
        <v>11</v>
      </c>
      <c r="J496" s="1375">
        <v>11</v>
      </c>
      <c r="K496" s="31" t="b">
        <f>IF(AND(F496&gt;=I496,F496&lt;=J496),TRUE,FALSE)</f>
        <v>0</v>
      </c>
      <c r="L496" s="31"/>
      <c r="M496" s="31"/>
      <c r="N496" s="31"/>
      <c r="O496" s="1351"/>
      <c r="P496" s="1374">
        <v>11</v>
      </c>
      <c r="Q496" s="1375">
        <v>11</v>
      </c>
      <c r="R496" s="1351" t="b">
        <f>IF(AND(F496&gt;=P496,F496&lt;=Q496),TRUE,FALSE)</f>
        <v>0</v>
      </c>
      <c r="S496" s="1374">
        <v>11</v>
      </c>
      <c r="T496" s="1375">
        <v>11</v>
      </c>
      <c r="U496" s="1351" t="b">
        <f>IF(AND(F496&gt;=S496,F496&lt;=T496),TRUE,FALSE)</f>
        <v>0</v>
      </c>
      <c r="V496" s="807"/>
      <c r="W496" s="821"/>
      <c r="X496" s="822"/>
      <c r="Y496" s="821"/>
      <c r="Z496" s="822"/>
      <c r="AA496" s="821"/>
      <c r="AB496" s="822"/>
      <c r="AD496" s="10"/>
      <c r="AE496" s="10"/>
      <c r="AF496" s="10"/>
      <c r="AG496" s="832">
        <f>IF(K496=TRUE,H496,0)</f>
        <v>0</v>
      </c>
      <c r="AH496" s="832">
        <f>IF(R496=TRUE,H496,0)</f>
        <v>0</v>
      </c>
      <c r="AI496" s="832">
        <f>IF(U496=TRUE,H496,0)</f>
        <v>0</v>
      </c>
      <c r="AJ496" s="1490">
        <f t="shared" si="1021"/>
        <v>0</v>
      </c>
      <c r="AK496" s="1490">
        <f t="shared" si="1022"/>
        <v>0</v>
      </c>
      <c r="AL496" s="1490">
        <f t="shared" si="1023"/>
        <v>0</v>
      </c>
      <c r="AM496" s="1490">
        <f t="shared" si="1024"/>
        <v>0</v>
      </c>
      <c r="AN496" s="1490">
        <f t="shared" si="1025"/>
        <v>0</v>
      </c>
      <c r="AO496" s="1490">
        <f t="shared" si="1026"/>
        <v>0</v>
      </c>
    </row>
    <row r="497" spans="1:41" ht="17" thickBot="1" x14ac:dyDescent="0.25">
      <c r="B497" s="1700"/>
      <c r="C497" s="716" t="s">
        <v>610</v>
      </c>
      <c r="D497" s="717">
        <f>_xlfn.XLOOKUP(H497,H495:H496,D495:D496)</f>
        <v>0</v>
      </c>
      <c r="E497" s="718">
        <f>_xlfn.XLOOKUP(H497,H495:H496,E495:E496)</f>
        <v>0</v>
      </c>
      <c r="F497" s="719"/>
      <c r="G497" s="719"/>
      <c r="H497" s="713">
        <f>IF(AND(K495=TRUE,K496=FALSE),H495,IF(AND(K495=FALSE,K496=TRUE),H496,MAX(H495,H496)))</f>
        <v>0</v>
      </c>
      <c r="I497" s="1353"/>
      <c r="J497" s="720"/>
      <c r="K497" s="721" t="b">
        <f>IF(AND(K495=FALSE,K496=FALSE),FALSE,TRUE)</f>
        <v>0</v>
      </c>
      <c r="L497" s="31"/>
      <c r="M497" s="31"/>
      <c r="N497" s="31"/>
      <c r="O497" s="1351"/>
      <c r="P497" s="1353"/>
      <c r="Q497" s="720"/>
      <c r="R497" s="1366" t="b">
        <f>IF(AND(R495=FALSE,R496=FALSE),FALSE,TRUE)</f>
        <v>0</v>
      </c>
      <c r="S497" s="1353"/>
      <c r="T497" s="720"/>
      <c r="U497" s="1366" t="b">
        <f>IF(AND(U495=FALSE,U496=FALSE),FALSE,TRUE)</f>
        <v>0</v>
      </c>
      <c r="V497" s="807"/>
      <c r="W497" s="821"/>
      <c r="X497" s="822"/>
      <c r="Y497" s="821"/>
      <c r="Z497" s="822"/>
      <c r="AA497" s="821"/>
      <c r="AB497" s="822"/>
      <c r="AD497" s="10"/>
      <c r="AE497" s="10"/>
      <c r="AF497" s="10"/>
      <c r="AG497" s="1740">
        <f>IF($K497=TRUE,MAX(AG495:AG496),0)</f>
        <v>0</v>
      </c>
      <c r="AH497" s="1740">
        <f>IF($R497=TRUE,MAX(AH495:AH496),0)</f>
        <v>0</v>
      </c>
      <c r="AI497" s="1740">
        <f>IF($U497=TRUE,MAX(AI495:AI496),0)</f>
        <v>0</v>
      </c>
      <c r="AJ497" s="1739">
        <f>MAX(AJ495:AJ496)</f>
        <v>0</v>
      </c>
      <c r="AK497" s="1739">
        <f t="shared" ref="AK497" si="1027">MAX(AK495:AK496)</f>
        <v>0</v>
      </c>
      <c r="AL497" s="1739">
        <f t="shared" ref="AL497" si="1028">MAX(AL495:AL496)</f>
        <v>0</v>
      </c>
      <c r="AM497" s="1739">
        <f t="shared" ref="AM497" si="1029">MAX(AM495:AM496)</f>
        <v>0</v>
      </c>
      <c r="AN497" s="1739">
        <f t="shared" ref="AN497" si="1030">MAX(AN495:AN496)</f>
        <v>0</v>
      </c>
      <c r="AO497" s="1739">
        <f t="shared" ref="AO497" si="1031">MAX(AO495:AO496)</f>
        <v>0</v>
      </c>
    </row>
    <row r="498" spans="1:41" ht="35" thickBot="1" x14ac:dyDescent="0.25">
      <c r="B498" s="1700"/>
      <c r="C498" s="722" t="s">
        <v>616</v>
      </c>
      <c r="D498" s="723"/>
      <c r="E498" s="723" t="str">
        <f>IF(H498=H494,E494,E497)</f>
        <v>force l'enfant à choisir</v>
      </c>
      <c r="F498" s="724"/>
      <c r="G498" s="724"/>
      <c r="H498" s="724">
        <f>IF(AND(K494=TRUE,K497=FALSE),H494,IF(AND(K494=FALSE,K497=TRUE),H497,IF(AND(K494=TRUE,K497=TRUE),H494+H497,MAX(H494,H497))))</f>
        <v>21</v>
      </c>
      <c r="I498" s="1354"/>
      <c r="J498" s="725"/>
      <c r="K498" s="726" t="b">
        <f>IF(AND(K494=FALSE,K497=FALSE),FALSE,TRUE)</f>
        <v>1</v>
      </c>
      <c r="L498" s="1338"/>
      <c r="M498" s="1338"/>
      <c r="N498" s="1338"/>
      <c r="O498" s="1355"/>
      <c r="P498" s="1354"/>
      <c r="Q498" s="725"/>
      <c r="R498" s="726" t="b">
        <f>IF(AND(R494=FALSE,R497=FALSE),FALSE,TRUE)</f>
        <v>1</v>
      </c>
      <c r="S498" s="1354"/>
      <c r="T498" s="725"/>
      <c r="U498" s="726" t="b">
        <f>IF(AND(U494=FALSE,U497=FALSE),FALSE,TRUE)</f>
        <v>0</v>
      </c>
      <c r="V498" s="807"/>
      <c r="W498" s="821" t="str">
        <f>IF(K498=TRUE,"V","F")</f>
        <v>V</v>
      </c>
      <c r="X498" s="822"/>
      <c r="Y498" s="821" t="str">
        <f>IF(R498=TRUE,"V","F")</f>
        <v>V</v>
      </c>
      <c r="Z498" s="822"/>
      <c r="AA498" s="821" t="str">
        <f>IF(U498=TRUE,"V","F")</f>
        <v>F</v>
      </c>
      <c r="AB498" s="822"/>
      <c r="AC498" t="str">
        <f>IF(OR(W498="V",Y498="V"),IF(H497&gt;H494,"Le NC contribue plus que le coparent","Le coparent joue un plus grand rôle que le NC"),"pas de contexte significatif de la part du coparent et NC")</f>
        <v>Le coparent joue un plus grand rôle que le NC</v>
      </c>
      <c r="AD498" s="10"/>
      <c r="AE498" s="10"/>
      <c r="AF498" s="10"/>
      <c r="AG498" s="591">
        <f>IF(AND($K494=TRUE,$K497=FALSE),AG494,IF(AND($K494=FALSE,$K497=TRUE),AG497,IF(AND($K494=TRUE,$K497=TRUE),AG494+AG497,0)))</f>
        <v>21</v>
      </c>
      <c r="AH498" s="591">
        <f>IF(AND($R494=TRUE,$R497=FALSE),AH494,IF(AND($R494=FALSE,$R497=TRUE),AH497,IF(AND($R494=TRUE,$R497=TRUE),AH494+AH497,0)))</f>
        <v>21</v>
      </c>
      <c r="AI498" s="591">
        <f>IF(AND($U494=TRUE,$U497=FALSE),AI494,IF(AND($U494=FALSE,$U497=TRUE),AI497,IF(AND($U494=TRUE,$U497=TRUE),AI494+AI497,0)))</f>
        <v>0</v>
      </c>
      <c r="AJ498" s="591">
        <f>IF(AND($K494=TRUE,$K497=FALSE),AJ494,IF(AND($K494=FALSE,$K497=TRUE),AJ497,IF(AND($K494=TRUE,$K497=TRUE),AJ494+AJ497,MAX(AJ494,AJ497))))</f>
        <v>6</v>
      </c>
      <c r="AK498" s="591">
        <f>IF(AND($K494=TRUE,$K497=FALSE),AK494,IF(AND($K494=FALSE,$K497=TRUE),AK497,IF(AND($K494=TRUE,$K497=TRUE),AK494+AK497,MAX(AK494,AK497))))</f>
        <v>30</v>
      </c>
      <c r="AL498" s="591">
        <f t="shared" ref="AL498" si="1032">IF(AND($R494=TRUE,$R497=FALSE),AL494,IF(AND($R494=FALSE,$R497=TRUE),AL497,IF(AND($R494=TRUE,$R497=TRUE),AL494+AL497,MAX(AL494,AL497))))</f>
        <v>6</v>
      </c>
      <c r="AM498" s="591">
        <f t="shared" ref="AM498" si="1033">IF(AND($R494=TRUE,$R497=FALSE),AM494,IF(AND($R494=FALSE,$R497=TRUE),AM497,IF(AND($R494=TRUE,$R497=TRUE),AM494+AM497,MAX(AM494,AM497))))</f>
        <v>21</v>
      </c>
      <c r="AN498" s="591">
        <f t="shared" ref="AN498" si="1034">IF(AND($U494=TRUE,$U497=FALSE),AN494,IF(AND($U494=FALSE,$U497=TRUE),AN497,IF(AND($U494=TRUE,$U497=TRUE),AN494+AN497,MAX(AN494,AN497))))</f>
        <v>0</v>
      </c>
      <c r="AO498" s="591">
        <f t="shared" ref="AO498" si="1035">IF(AND($U494=TRUE,$U497=FALSE),AO494,IF(AND($U494=FALSE,$U497=TRUE),AO497,IF(AND($U494=TRUE,$U497=TRUE),AO494+AO497,MAX(AO494,AO497))))</f>
        <v>0</v>
      </c>
    </row>
    <row r="499" spans="1:41" ht="51" x14ac:dyDescent="0.2">
      <c r="A499" t="str">
        <f>IF(Test_Bible!B324="","F","O")</f>
        <v>F</v>
      </c>
      <c r="B499" s="1700" t="str">
        <f>'Cpts AR +indép + Sommaire'!S75</f>
        <v>Rôle actif de l'enfant</v>
      </c>
      <c r="C499" s="287" t="str">
        <f>'Cpts AR +indép + Sommaire'!O75</f>
        <v>E30</v>
      </c>
      <c r="D499" s="25" t="str">
        <f>'Cpts AR +indép + Sommaire'!P75</f>
        <v>Votre enfant réclame le droit de choisir les moments où il vous rend visite et la durée des visites chez vous.</v>
      </c>
      <c r="E499" s="78" t="s">
        <v>669</v>
      </c>
      <c r="F499" s="709">
        <f>'Cpts AR +indép + Sommaire'!Q75</f>
        <v>0</v>
      </c>
      <c r="G499" s="709">
        <f>'Cpts AR +indép + Sommaire'!R75</f>
        <v>2</v>
      </c>
      <c r="H499" s="709">
        <f>F499*G499</f>
        <v>0</v>
      </c>
      <c r="I499" s="1350">
        <v>4</v>
      </c>
      <c r="J499" s="1343">
        <v>10</v>
      </c>
      <c r="K499" s="31" t="b">
        <f>IF(AND(F499&gt;=I499,F499&lt;=J499),TRUE,FALSE)</f>
        <v>0</v>
      </c>
      <c r="L499" s="31"/>
      <c r="M499" s="31"/>
      <c r="N499" s="31"/>
      <c r="O499" s="1351"/>
      <c r="P499" s="1350">
        <v>4</v>
      </c>
      <c r="Q499" s="1343">
        <v>7</v>
      </c>
      <c r="R499" s="1351" t="b">
        <f>IF(AND(F499&gt;=P499,F499&lt;=Q499),TRUE,FALSE)</f>
        <v>0</v>
      </c>
      <c r="S499" s="1350"/>
      <c r="T499" s="1343"/>
      <c r="U499" s="1351"/>
      <c r="V499" s="807"/>
      <c r="W499" s="821" t="s">
        <v>753</v>
      </c>
      <c r="X499" s="822"/>
      <c r="Y499" s="821"/>
      <c r="Z499" s="822"/>
      <c r="AA499" s="821"/>
      <c r="AB499" s="822"/>
      <c r="AD499" s="10"/>
      <c r="AE499" s="10"/>
      <c r="AF499" s="10"/>
      <c r="AG499" s="832">
        <f>IF($K499=TRUE,H499,0)</f>
        <v>0</v>
      </c>
      <c r="AH499" s="832">
        <f>IF($R499=TRUE,H499,0)</f>
        <v>0</v>
      </c>
      <c r="AI499" s="832"/>
      <c r="AJ499" s="1490">
        <f t="shared" ref="AJ499:AJ500" si="1036">IF(OR(I499=11,A499="F"),0,G499*I499)</f>
        <v>0</v>
      </c>
      <c r="AK499" s="1490">
        <f t="shared" ref="AK499:AK500" si="1037">IF(OR(J499=11,A499="F"),0,G499*J499)</f>
        <v>0</v>
      </c>
      <c r="AL499" s="1490">
        <f t="shared" ref="AL499:AL500" si="1038">IF(OR(P499=11,A499="F"),0,G499*P499)</f>
        <v>0</v>
      </c>
      <c r="AM499" s="1490">
        <f t="shared" ref="AM499:AM500" si="1039">IF(OR(Q499=11,A499="F"),0,G499*Q499)</f>
        <v>0</v>
      </c>
      <c r="AN499" s="1490">
        <f t="shared" ref="AN499:AN500" si="1040">IF(OR(S499=11,A499="F"),0,S499*G499)</f>
        <v>0</v>
      </c>
      <c r="AO499" s="1490">
        <f t="shared" ref="AO499:AO500" si="1041">IF(OR(T499=11,A499="F"),0,T499*G499)</f>
        <v>0</v>
      </c>
    </row>
    <row r="500" spans="1:41" ht="17" thickBot="1" x14ac:dyDescent="0.25">
      <c r="B500" s="1700"/>
      <c r="C500" s="287" t="s">
        <v>272</v>
      </c>
      <c r="D500" s="25"/>
      <c r="E500" s="78"/>
      <c r="F500" s="709"/>
      <c r="G500" s="708"/>
      <c r="H500" s="709">
        <f>F500*G500</f>
        <v>0</v>
      </c>
      <c r="I500" s="1374">
        <v>11</v>
      </c>
      <c r="J500" s="1375">
        <v>11</v>
      </c>
      <c r="K500" s="31" t="b">
        <f>IF(AND(F500&gt;=I500,F500&lt;=J500),TRUE,FALSE)</f>
        <v>0</v>
      </c>
      <c r="L500" s="31"/>
      <c r="M500" s="31"/>
      <c r="N500" s="31"/>
      <c r="O500" s="1351"/>
      <c r="P500" s="1374">
        <v>11</v>
      </c>
      <c r="Q500" s="1375">
        <v>11</v>
      </c>
      <c r="R500" s="1351" t="b">
        <f>IF(AND(F500&gt;=P500,F500&lt;=Q500),TRUE,FALSE)</f>
        <v>0</v>
      </c>
      <c r="S500" s="1374"/>
      <c r="T500" s="1375"/>
      <c r="U500" s="1351"/>
      <c r="V500" s="807"/>
      <c r="W500" s="821"/>
      <c r="X500" s="822"/>
      <c r="Y500" s="821"/>
      <c r="Z500" s="822"/>
      <c r="AA500" s="821"/>
      <c r="AB500" s="822"/>
      <c r="AD500" s="10"/>
      <c r="AE500" s="10"/>
      <c r="AF500" s="10"/>
      <c r="AG500" s="832">
        <f>IF($K500=TRUE,H500,0)</f>
        <v>0</v>
      </c>
      <c r="AH500" s="832">
        <f>IF($R500=TRUE,H500,0)</f>
        <v>0</v>
      </c>
      <c r="AI500" s="832"/>
      <c r="AJ500" s="1490">
        <f t="shared" si="1036"/>
        <v>0</v>
      </c>
      <c r="AK500" s="1490">
        <f t="shared" si="1037"/>
        <v>0</v>
      </c>
      <c r="AL500" s="1490">
        <f t="shared" si="1038"/>
        <v>0</v>
      </c>
      <c r="AM500" s="1490">
        <f t="shared" si="1039"/>
        <v>0</v>
      </c>
      <c r="AN500" s="1490">
        <f t="shared" si="1040"/>
        <v>0</v>
      </c>
      <c r="AO500" s="1490">
        <f t="shared" si="1041"/>
        <v>0</v>
      </c>
    </row>
    <row r="501" spans="1:41" ht="52" thickBot="1" x14ac:dyDescent="0.25">
      <c r="B501" s="1700"/>
      <c r="C501" s="727" t="s">
        <v>611</v>
      </c>
      <c r="D501" s="728" t="str">
        <f>_xlfn.XLOOKUP(H501,H499:H500,D499:D500)</f>
        <v>Votre enfant réclame le droit de choisir les moments où il vous rend visite et la durée des visites chez vous.</v>
      </c>
      <c r="E501" s="728" t="str">
        <f>_xlfn.XLOOKUP(H501,H499:H500,E499:E500)</f>
        <v>reproche de lui manquer de respect en ne respectant pas ses choix</v>
      </c>
      <c r="F501" s="729"/>
      <c r="G501" s="729"/>
      <c r="H501" s="729">
        <f>IF(AND(K499=TRUE,K500=FALSE),H499,IF(AND(K499=FALSE,K500=TRUE),H500,MAX(H499,H500)))</f>
        <v>0</v>
      </c>
      <c r="I501" s="1356"/>
      <c r="J501" s="730"/>
      <c r="K501" s="731" t="b">
        <f>IF(AND(K499=FALSE,K500=FALSE),FALSE,TRUE)</f>
        <v>0</v>
      </c>
      <c r="L501" s="1339"/>
      <c r="M501" s="1339"/>
      <c r="N501" s="1339"/>
      <c r="O501" s="1357"/>
      <c r="P501" s="1356"/>
      <c r="Q501" s="730"/>
      <c r="R501" s="731" t="b">
        <f>IF(AND(R499=FALSE,R500=FALSE),FALSE,TRUE)</f>
        <v>0</v>
      </c>
      <c r="S501" s="1356"/>
      <c r="T501" s="730"/>
      <c r="U501" s="731"/>
      <c r="V501" s="807"/>
      <c r="W501" s="821" t="str">
        <f>IF(K501=TRUE,"V","F")</f>
        <v>F</v>
      </c>
      <c r="X501" s="822"/>
      <c r="Y501" s="821" t="str">
        <f>IF(R501=TRUE,"V","F")</f>
        <v>F</v>
      </c>
      <c r="Z501" s="822"/>
      <c r="AA501" s="821"/>
      <c r="AB501" s="822"/>
      <c r="AD501" s="10"/>
      <c r="AE501" s="10"/>
      <c r="AF501" s="10"/>
      <c r="AG501" s="1742">
        <f>IF(AND($K499=TRUE,$K500=FALSE),AG499,IF(AND($K499=FALSE,$K500=TRUE),AG500,IF(AND($K499=TRUE,$K500=TRUE),MAX(AG499,AG500),0)))</f>
        <v>0</v>
      </c>
      <c r="AH501" s="1742">
        <f>IF(AND($R499=TRUE,$R500=FALSE),AH499,IF(AND($R499=FALSE,$R500=TRUE),AH500,IF(AND($R499=TRUE,$R500=TRUE),MAX(AH499,AH500),0)))</f>
        <v>0</v>
      </c>
      <c r="AI501" s="1742"/>
      <c r="AJ501" s="1742">
        <f>IF(AND($K499=TRUE,$K500=FALSE),AJ499,IF(AND($K499=FALSE,$K500=TRUE),AJ500,IF(AND($K499=TRUE,$K500=TRUE),MAX(AJ499,AJ500),0)))</f>
        <v>0</v>
      </c>
      <c r="AK501" s="1742">
        <f>IF(AND($K499=TRUE,$K500=FALSE),AK499,IF(AND($K499=FALSE,$K500=TRUE),AK500,IF(AND($K499=TRUE,$K500=TRUE),MAX(AK499,AK500),0)))</f>
        <v>0</v>
      </c>
      <c r="AL501" s="1742">
        <f t="shared" ref="AL501" si="1042">IF(AND($R499=TRUE,$R500=FALSE),AL499,IF(AND($R499=FALSE,$R500=TRUE),AL500,IF(AND($R499=TRUE,$R500=TRUE),MAX(AL499,AL500),0)))</f>
        <v>0</v>
      </c>
      <c r="AM501" s="1742">
        <f t="shared" ref="AM501" si="1043">IF(AND($R499=TRUE,$R500=FALSE),AM499,IF(AND($R499=FALSE,$R500=TRUE),AM500,IF(AND($R499=TRUE,$R500=TRUE),MAX(AM499,AM500),0)))</f>
        <v>0</v>
      </c>
      <c r="AN501" s="1742"/>
      <c r="AO501" s="1742"/>
    </row>
    <row r="502" spans="1:41" ht="51" x14ac:dyDescent="0.2">
      <c r="B502" s="1700"/>
      <c r="D502" s="386" t="s">
        <v>273</v>
      </c>
      <c r="E502" s="705"/>
      <c r="F502" s="439" t="s">
        <v>349</v>
      </c>
      <c r="G502" s="33"/>
      <c r="H502" s="33">
        <f>IF(AND(K498=TRUE,K501=FALSE),H498,IF(AND(K498=FALSE,K501=TRUE),H501,IF(AND(K498=TRUE,K501=TRUE),H498+H501,MAX(H498,H501))))</f>
        <v>21</v>
      </c>
      <c r="I502" s="1358"/>
      <c r="J502" s="440"/>
      <c r="K502" s="1341"/>
      <c r="L502" s="1342" t="str">
        <f>IF(AND(K501=TRUE,K498=TRUE),E501,"")</f>
        <v/>
      </c>
      <c r="M502" s="1342" t="str">
        <f>IF(AND(K498=TRUE,K501=FALSE),"Bien que le parent "&amp;E498&amp;" l'enfant ne semble pas s'ingérer","")</f>
        <v>Bien que le parent force l'enfant à choisir l'enfant ne semble pas s'ingérer</v>
      </c>
      <c r="N502" s="1342" t="str">
        <f>IF(AND(K498=FALSE,K501=TRUE),E501&amp;" sans signe de la participation du parent favorisé et|ou nouveau conjoint.e","")</f>
        <v/>
      </c>
      <c r="O502" s="1359" t="str">
        <f>IF(AND(K498=FALSE,K501=FALSE),"aucun comportement significatif de cette nature","")</f>
        <v/>
      </c>
      <c r="P502" s="1358"/>
      <c r="Q502" s="440"/>
      <c r="R502" s="1367"/>
      <c r="S502" s="1358"/>
      <c r="T502" s="440"/>
      <c r="U502" s="1367"/>
      <c r="V502" s="145"/>
      <c r="W502" s="823"/>
      <c r="X502" s="824">
        <f>IF(AND(W498="V",W501="V"),2,IF(OR(W498="V",W501="V"),1,0))</f>
        <v>1</v>
      </c>
      <c r="Y502" s="823"/>
      <c r="Z502" s="824">
        <f>IF(OR(Y498="V",Y501="V"),1,0)</f>
        <v>1</v>
      </c>
      <c r="AA502" s="823"/>
      <c r="AB502" s="824"/>
      <c r="AD502" s="10"/>
      <c r="AE502" s="10"/>
      <c r="AF502" s="10"/>
      <c r="AG502" s="1738">
        <f>IF(AND($W498="V",$W501="F"),AG498,IF(AND($W498="F",$W501="V"),AG501,IF(AND($W498="V",$W501="V"),AG498+AG501,0)))</f>
        <v>21</v>
      </c>
      <c r="AH502" s="1738">
        <f>IF(AND($Y498="V",$Y501="F"),AH498,IF(AND($Y498="F",$Y501="V"),AH501,IF(AND($Y498="V",$Y501="V"),AH498+AH501,0)))</f>
        <v>21</v>
      </c>
      <c r="AI502" s="1738"/>
      <c r="AJ502" s="1738">
        <f>IF(AND($W498="V",$W501="F"),AJ498,IF(AND($W498="F",$W501="V"),AJ501,IF(AND($W498="V",$W501="V"),AJ498+AJ501,0)))</f>
        <v>6</v>
      </c>
      <c r="AK502" s="1738">
        <f>IF(AND($W498="V",$W501="F"),AK498,IF(AND($W498="F",$W501="V"),AK501,IF(AND($W498="V",$W501="V"),AK498+AK501,0)))</f>
        <v>30</v>
      </c>
      <c r="AL502" s="1738">
        <f>IF(AND($Y498="V",$Y501="F"),AL498,IF(AND($Y498="F",$Y501="V"),AL501,IF(AND($Y498="V",$Y501="V"),AL498+AL501,0)))</f>
        <v>6</v>
      </c>
      <c r="AM502" s="1738">
        <f>IF(AND($Y498="V",$Y501="F"),AM498,IF(AND($Y498="F",$Y501="V"),AM501,IF(AND($Y498="V",$Y501="V"),AM498+AM501,0)))</f>
        <v>21</v>
      </c>
      <c r="AN502" s="1738"/>
      <c r="AO502" s="1738"/>
    </row>
    <row r="503" spans="1:41" ht="16" x14ac:dyDescent="0.2">
      <c r="B503" s="1700"/>
      <c r="C503" t="s">
        <v>238</v>
      </c>
      <c r="I503" s="122"/>
      <c r="L503" s="32"/>
      <c r="M503" s="32"/>
      <c r="N503" s="32"/>
      <c r="O503" s="1379"/>
      <c r="P503" s="122"/>
      <c r="R503" s="292"/>
      <c r="S503" s="122"/>
      <c r="U503" s="292"/>
      <c r="V503" s="32"/>
      <c r="W503" s="821"/>
      <c r="X503" s="822"/>
      <c r="Y503" s="821"/>
      <c r="Z503" s="822"/>
      <c r="AA503" s="821"/>
      <c r="AB503" s="822"/>
      <c r="AD503" s="10"/>
      <c r="AE503" s="10"/>
      <c r="AF503" s="10"/>
      <c r="AG503" s="832"/>
      <c r="AH503" s="832"/>
      <c r="AI503" s="832"/>
      <c r="AJ503" s="1490"/>
      <c r="AK503" s="1490"/>
      <c r="AL503" s="1490"/>
      <c r="AM503" s="1490"/>
      <c r="AN503" s="1490"/>
      <c r="AO503" s="1490"/>
    </row>
    <row r="504" spans="1:41" ht="19" x14ac:dyDescent="0.2">
      <c r="B504" s="1700"/>
      <c r="C504" s="825"/>
      <c r="D504" s="829"/>
      <c r="E504" s="826"/>
      <c r="F504" s="830"/>
      <c r="G504" s="830"/>
      <c r="H504" s="830">
        <f>F504*G504</f>
        <v>0</v>
      </c>
      <c r="I504" s="1374">
        <v>11</v>
      </c>
      <c r="J504" s="1375">
        <v>11</v>
      </c>
      <c r="K504" s="31" t="b">
        <f>IF(AND(F504&gt;=I504,F504&lt;=J504),TRUE,FALSE)</f>
        <v>0</v>
      </c>
      <c r="L504" s="26"/>
      <c r="M504" s="26"/>
      <c r="N504" s="26"/>
      <c r="O504" s="1360"/>
      <c r="P504" s="1374">
        <v>11</v>
      </c>
      <c r="Q504" s="1375">
        <v>11</v>
      </c>
      <c r="R504" s="1351" t="b">
        <f>IF(AND(F504&gt;=P504,F504&lt;=Q504),TRUE,FALSE)</f>
        <v>0</v>
      </c>
      <c r="S504" s="1374">
        <v>11</v>
      </c>
      <c r="T504" s="1375">
        <v>11</v>
      </c>
      <c r="U504" s="1351" t="b">
        <f>IF(AND(F504&gt;=S504,F504&lt;=T504),TRUE,FALSE)</f>
        <v>0</v>
      </c>
      <c r="V504" s="32"/>
      <c r="W504" s="821"/>
      <c r="X504" s="822"/>
      <c r="Y504" s="821"/>
      <c r="Z504" s="822"/>
      <c r="AA504" s="821"/>
      <c r="AB504" s="822"/>
      <c r="AD504" s="10"/>
      <c r="AE504" s="10"/>
      <c r="AF504" s="10"/>
      <c r="AG504" s="832">
        <f>IF($K504=TRUE,H504,0)</f>
        <v>0</v>
      </c>
      <c r="AH504" s="832">
        <f>IF($R504=TRUE,H504,0)</f>
        <v>0</v>
      </c>
      <c r="AI504" s="832">
        <f>IF($U504=TRUE,H504,0)</f>
        <v>0</v>
      </c>
      <c r="AJ504" s="1490">
        <f t="shared" ref="AJ504:AJ505" si="1044">IF(OR(I504=11,A504="F"),0,G504*I504)</f>
        <v>0</v>
      </c>
      <c r="AK504" s="1490">
        <f t="shared" ref="AK504:AK505" si="1045">IF(OR(J504=11,A504="F"),0,G504*J504)</f>
        <v>0</v>
      </c>
      <c r="AL504" s="1490">
        <f t="shared" ref="AL504:AL505" si="1046">IF(OR(P504=11,A504="F"),0,G504*P504)</f>
        <v>0</v>
      </c>
      <c r="AM504" s="1490">
        <f t="shared" ref="AM504:AM505" si="1047">IF(OR(Q504=11,A504="F"),0,G504*Q504)</f>
        <v>0</v>
      </c>
      <c r="AN504" s="1490">
        <f t="shared" ref="AN504:AN505" si="1048">IF(OR(S504=11,A504="F"),0,S504*G504)</f>
        <v>0</v>
      </c>
      <c r="AO504" s="1490">
        <f t="shared" ref="AO504:AO505" si="1049">IF(OR(T504=11,A504="F"),0,T504*G504)</f>
        <v>0</v>
      </c>
    </row>
    <row r="505" spans="1:41" ht="20" thickBot="1" x14ac:dyDescent="0.25">
      <c r="B505" s="1700"/>
      <c r="C505" s="825"/>
      <c r="D505" s="829"/>
      <c r="E505" s="826"/>
      <c r="F505" s="830"/>
      <c r="G505" s="830"/>
      <c r="H505" s="830">
        <f>F505*G505</f>
        <v>0</v>
      </c>
      <c r="I505" s="1374">
        <v>11</v>
      </c>
      <c r="J505" s="1375">
        <v>11</v>
      </c>
      <c r="K505" s="31" t="b">
        <f>IF(AND(F505&gt;=I505,F505&lt;=J505),TRUE,FALSE)</f>
        <v>0</v>
      </c>
      <c r="L505" s="26"/>
      <c r="M505" s="26"/>
      <c r="N505" s="26"/>
      <c r="O505" s="1360"/>
      <c r="P505" s="1374">
        <v>11</v>
      </c>
      <c r="Q505" s="1375">
        <v>11</v>
      </c>
      <c r="R505" s="1351" t="b">
        <f>IF(AND(F505&gt;=P505,F505&lt;=Q505),TRUE,FALSE)</f>
        <v>0</v>
      </c>
      <c r="S505" s="1374">
        <v>11</v>
      </c>
      <c r="T505" s="1375">
        <v>11</v>
      </c>
      <c r="U505" s="1351" t="b">
        <f>IF(AND(F505&gt;=S505,F505&lt;=T505),TRUE,FALSE)</f>
        <v>0</v>
      </c>
      <c r="W505" s="821"/>
      <c r="X505" s="822"/>
      <c r="Y505" s="821"/>
      <c r="Z505" s="822"/>
      <c r="AA505" s="821"/>
      <c r="AB505" s="822"/>
      <c r="AD505" s="10"/>
      <c r="AE505" s="10"/>
      <c r="AF505" s="10"/>
      <c r="AG505" s="832">
        <f>IF($K505=TRUE,H505,0)</f>
        <v>0</v>
      </c>
      <c r="AH505" s="832">
        <f>IF($R505=TRUE,H505,0)</f>
        <v>0</v>
      </c>
      <c r="AI505" s="832">
        <f>IF($U505=TRUE,H505,0)</f>
        <v>0</v>
      </c>
      <c r="AJ505" s="1490">
        <f t="shared" si="1044"/>
        <v>0</v>
      </c>
      <c r="AK505" s="1490">
        <f t="shared" si="1045"/>
        <v>0</v>
      </c>
      <c r="AL505" s="1490">
        <f t="shared" si="1046"/>
        <v>0</v>
      </c>
      <c r="AM505" s="1490">
        <f t="shared" si="1047"/>
        <v>0</v>
      </c>
      <c r="AN505" s="1490">
        <f t="shared" si="1048"/>
        <v>0</v>
      </c>
      <c r="AO505" s="1490">
        <f t="shared" si="1049"/>
        <v>0</v>
      </c>
    </row>
    <row r="506" spans="1:41" ht="27" thickBot="1" x14ac:dyDescent="0.35">
      <c r="D506" s="16"/>
      <c r="E506" s="16"/>
      <c r="F506" s="67"/>
      <c r="G506" s="438"/>
      <c r="H506" s="33">
        <f>IF(AND(K504=TRUE,K505=FALSE),H504,IF(AND(K504=FALSE,K505=TRUE),H505,MAX(H504,H505)))</f>
        <v>0</v>
      </c>
      <c r="I506" s="1371"/>
      <c r="J506" s="1372"/>
      <c r="K506" s="1378" t="b">
        <f>IF(AND(K504=FALSE,K505=FALSE),FALSE,TRUE)</f>
        <v>0</v>
      </c>
      <c r="L506" s="1361"/>
      <c r="M506" s="1362"/>
      <c r="N506" s="1362"/>
      <c r="O506" s="1363"/>
      <c r="P506" s="1371"/>
      <c r="Q506" s="1372"/>
      <c r="R506" s="1378" t="b">
        <f>IF(AND(R504=FALSE,R505=FALSE),FALSE,TRUE)</f>
        <v>0</v>
      </c>
      <c r="S506" s="1383"/>
      <c r="T506" s="1384"/>
      <c r="U506" s="1385" t="b">
        <f>IF(AND(U504=FALSE,U505=FALSE),FALSE,TRUE)</f>
        <v>0</v>
      </c>
      <c r="V506" s="809"/>
      <c r="W506" s="1315" t="str">
        <f>IF(K506=TRUE,"V","F")</f>
        <v>F</v>
      </c>
      <c r="X506" s="1316"/>
      <c r="Y506" s="1315" t="str">
        <f>IF(R506=TRUE,"V","F")</f>
        <v>F</v>
      </c>
      <c r="Z506" s="1316"/>
      <c r="AA506" s="1315" t="str">
        <f>IF(U506=TRUE,"V","F")</f>
        <v>F</v>
      </c>
      <c r="AB506" s="1316"/>
      <c r="AD506" s="10"/>
      <c r="AE506" s="10"/>
      <c r="AF506" s="10"/>
      <c r="AG506" s="1742">
        <f>IF(AND($K504=TRUE,$K505=FALSE),AG504,IF(AND($K504=FALSE,$K505=TRUE),AG505,MAX(AG504,AG505)))</f>
        <v>0</v>
      </c>
      <c r="AH506" s="1742">
        <f>IF(AND($R504=TRUE,$R505=FALSE),AH504,IF(AND($R504=FALSE,$R505=TRUE),AH505,MAX(AH504,AH505)))</f>
        <v>0</v>
      </c>
      <c r="AI506" s="1742">
        <f>IF(AND($U504=TRUE,$U505=FALSE),AI504,IF(AND($U504=FALSE,$U505=TRUE),AI505,MAX(AI504,AI505)))</f>
        <v>0</v>
      </c>
      <c r="AJ506" s="1742">
        <f>IF(AND($K504=TRUE,$K505=FALSE),AJ504,IF(AND($K504=FALSE,$K505=TRUE),AJ505,MAX(AJ504,AJ505)))</f>
        <v>0</v>
      </c>
      <c r="AK506" s="1742">
        <f>IF(AND($K504=TRUE,$K505=FALSE),AK504,IF(AND($K504=FALSE,$K505=TRUE),AK505,MAX(AK504,AK505)))</f>
        <v>0</v>
      </c>
      <c r="AL506" s="1742">
        <f>IF(AND($R504=TRUE,$R505=FALSE),AL504,IF(AND($R504=FALSE,$R505=TRUE),AL505,MAX(AL504,AL505)))</f>
        <v>0</v>
      </c>
      <c r="AM506" s="1742">
        <f>IF(AND($R504=TRUE,$R505=FALSE),AM504,IF(AND($R504=FALSE,$R505=TRUE),AM505,MAX(AM504,AM505)))</f>
        <v>0</v>
      </c>
      <c r="AN506" s="1742">
        <f>IF(AND($U504=TRUE,$U505=FALSE),AN504,IF(AND($U504=FALSE,$U505=TRUE),AN505,MAX(AN504,AN505)))</f>
        <v>0</v>
      </c>
      <c r="AO506" s="1742">
        <f>IF(AND($U504=TRUE,$U505=FALSE),AO504,IF(AND($U504=FALSE,$U505=TRUE),AO505,MAX(AO504,AO505)))</f>
        <v>0</v>
      </c>
    </row>
    <row r="507" spans="1:41" ht="27" thickBot="1" x14ac:dyDescent="0.35">
      <c r="D507" s="16"/>
      <c r="E507" s="16"/>
      <c r="F507" s="67"/>
      <c r="G507" s="438"/>
      <c r="H507" s="438"/>
      <c r="I507" s="8"/>
      <c r="J507" s="8"/>
      <c r="K507" s="808"/>
      <c r="L507" s="809"/>
      <c r="M507" s="809"/>
      <c r="N507" s="809"/>
      <c r="O507" s="809"/>
      <c r="P507" s="809"/>
      <c r="Q507" s="809"/>
      <c r="R507" s="809"/>
      <c r="S507" s="809"/>
      <c r="T507" s="809"/>
      <c r="U507" s="809"/>
      <c r="V507" s="809"/>
      <c r="W507" s="1376"/>
      <c r="X507" s="1377">
        <f>IF(AND(W506="V",W498="V"),X502-1,X502)</f>
        <v>1</v>
      </c>
      <c r="Y507" s="1376"/>
      <c r="Z507" s="1377">
        <f>IF(OR(Y498="V",Y501="V",Y506="V"),1,0)</f>
        <v>1</v>
      </c>
      <c r="AA507" s="1376"/>
      <c r="AB507" s="1377">
        <f>IF(AA498="V",1,IF(AA506="V",1,0))</f>
        <v>0</v>
      </c>
      <c r="AD507" s="10">
        <f>X507</f>
        <v>1</v>
      </c>
      <c r="AE507" s="10">
        <f>Z507</f>
        <v>1</v>
      </c>
      <c r="AF507" s="10">
        <f>AB507</f>
        <v>0</v>
      </c>
      <c r="AG507" s="1741">
        <f>IF($W506="F",AG502,AG502+AG506)</f>
        <v>21</v>
      </c>
      <c r="AH507" s="1741">
        <f>IF($Y506="F",AH502,AH502+AH506)</f>
        <v>21</v>
      </c>
      <c r="AI507" s="1741">
        <f>IF(AND($AA498="V",$AA506="F"),AI498,IF(AND($AA498="F",$AA506="V"),AI506,IF(AND($AA498="V",$AA506="V"),AI498+AI506,0)))</f>
        <v>0</v>
      </c>
      <c r="AJ507" s="1741">
        <f>IF($W506="F",AJ502,AJ502+AJ506)</f>
        <v>6</v>
      </c>
      <c r="AK507" s="1741">
        <f t="shared" ref="AK507" si="1050">IF($W506="F",AK502,AK502+AK506)</f>
        <v>30</v>
      </c>
      <c r="AL507" s="1741">
        <f t="shared" ref="AL507" si="1051">IF($Y506="F",AL502,AL502+AL506)</f>
        <v>6</v>
      </c>
      <c r="AM507" s="1741">
        <f t="shared" ref="AM507" si="1052">IF($Y506="F",AM502,AM502+AM506)</f>
        <v>21</v>
      </c>
      <c r="AN507" s="1741">
        <f t="shared" ref="AN507" si="1053">IF(AND($AA498="V",$AA506="F"),AN498,IF(AND($AA498="F",$AA506="V"),AN506,IF(AND($AA498="V",$AA506="V"),AN498+AN506,0)))</f>
        <v>0</v>
      </c>
      <c r="AO507" s="1741">
        <f t="shared" ref="AO507" si="1054">IF(AND($AA498="V",$AA506="F"),AO498,IF(AND($AA498="F",$AA506="V"),AO506,IF(AND($AA498="V",$AA506="V"),AO498+AO506,0)))</f>
        <v>0</v>
      </c>
    </row>
    <row r="508" spans="1:41" x14ac:dyDescent="0.3">
      <c r="I508" s="1344"/>
      <c r="J508" s="1345"/>
      <c r="K508" s="1346"/>
      <c r="L508" s="2603"/>
      <c r="M508" s="2603"/>
      <c r="N508" s="2603"/>
      <c r="O508" s="1347"/>
      <c r="P508" s="1364"/>
      <c r="Q508" s="1346"/>
      <c r="R508" s="1347"/>
      <c r="S508" s="1364"/>
      <c r="T508" s="1346"/>
      <c r="U508" s="1347"/>
      <c r="W508" s="1387"/>
      <c r="X508" s="1388"/>
      <c r="Y508" s="1231"/>
      <c r="Z508" s="1231"/>
      <c r="AA508" s="1231"/>
      <c r="AB508" s="1231"/>
      <c r="AD508" s="10"/>
      <c r="AE508" s="10"/>
      <c r="AF508" s="10"/>
    </row>
    <row r="509" spans="1:41" x14ac:dyDescent="0.3">
      <c r="B509" s="1699">
        <v>25</v>
      </c>
      <c r="D509" s="441" t="str">
        <f>'Cpts AR +indép + Sommaire'!B78</f>
        <v>Transport d'objets d'un domicile à l'autre</v>
      </c>
      <c r="E509" s="84"/>
      <c r="F509" s="50"/>
      <c r="G509" s="18"/>
      <c r="H509" s="18"/>
      <c r="I509" s="2595" t="s">
        <v>604</v>
      </c>
      <c r="J509" s="2596"/>
      <c r="K509" s="2596"/>
      <c r="L509" s="2597" t="s">
        <v>1086</v>
      </c>
      <c r="M509" s="2597"/>
      <c r="N509" s="2597"/>
      <c r="O509" s="2598"/>
      <c r="P509" s="2599" t="s">
        <v>603</v>
      </c>
      <c r="Q509" s="2600"/>
      <c r="R509" s="2601"/>
      <c r="S509" s="2590" t="s">
        <v>605</v>
      </c>
      <c r="T509" s="2591"/>
      <c r="U509" s="2592"/>
      <c r="V509" s="15"/>
      <c r="W509" s="817"/>
      <c r="X509" s="817"/>
      <c r="Y509" s="817"/>
      <c r="Z509" s="817"/>
      <c r="AA509" s="817"/>
      <c r="AB509" s="818"/>
      <c r="AD509" s="10"/>
      <c r="AE509" s="10"/>
      <c r="AF509" s="10"/>
      <c r="AG509" s="1386" t="s">
        <v>604</v>
      </c>
      <c r="AH509" s="1386" t="s">
        <v>603</v>
      </c>
      <c r="AI509" s="1386" t="s">
        <v>605</v>
      </c>
      <c r="AJ509" s="2589" t="s">
        <v>604</v>
      </c>
      <c r="AK509" s="2589"/>
      <c r="AL509" s="2589" t="s">
        <v>603</v>
      </c>
      <c r="AM509" s="2589"/>
      <c r="AN509" s="2589" t="s">
        <v>605</v>
      </c>
      <c r="AO509" s="2589"/>
    </row>
    <row r="510" spans="1:41" ht="36" x14ac:dyDescent="0.3">
      <c r="D510" s="79" t="s">
        <v>779</v>
      </c>
      <c r="E510" s="835" t="s">
        <v>778</v>
      </c>
      <c r="F510" s="26" t="s">
        <v>226</v>
      </c>
      <c r="G510" s="26" t="s">
        <v>22</v>
      </c>
      <c r="H510" s="26" t="s">
        <v>612</v>
      </c>
      <c r="I510" s="1348" t="s">
        <v>269</v>
      </c>
      <c r="J510" s="29" t="s">
        <v>270</v>
      </c>
      <c r="K510" s="29" t="s">
        <v>271</v>
      </c>
      <c r="L510" s="29" t="s">
        <v>363</v>
      </c>
      <c r="M510" s="29" t="s">
        <v>339</v>
      </c>
      <c r="N510" s="29" t="s">
        <v>340</v>
      </c>
      <c r="O510" s="1349" t="s">
        <v>341</v>
      </c>
      <c r="P510" s="1348" t="s">
        <v>269</v>
      </c>
      <c r="Q510" s="29" t="s">
        <v>270</v>
      </c>
      <c r="R510" s="1349" t="s">
        <v>271</v>
      </c>
      <c r="S510" s="1348" t="s">
        <v>269</v>
      </c>
      <c r="T510" s="29" t="s">
        <v>270</v>
      </c>
      <c r="U510" s="1349" t="s">
        <v>271</v>
      </c>
      <c r="V510" s="736"/>
      <c r="W510" s="827" t="s">
        <v>604</v>
      </c>
      <c r="X510" s="828" t="s">
        <v>754</v>
      </c>
      <c r="Y510" s="827" t="s">
        <v>603</v>
      </c>
      <c r="Z510" s="828" t="s">
        <v>755</v>
      </c>
      <c r="AA510" s="827" t="s">
        <v>605</v>
      </c>
      <c r="AB510" s="828" t="s">
        <v>756</v>
      </c>
      <c r="AD510" s="10"/>
      <c r="AE510" s="10"/>
      <c r="AF510" s="10"/>
      <c r="AG510" s="10"/>
      <c r="AH510" s="10"/>
      <c r="AI510" s="10"/>
      <c r="AJ510" s="1490" t="s">
        <v>1058</v>
      </c>
      <c r="AK510" s="1490" t="s">
        <v>1059</v>
      </c>
      <c r="AL510" s="1490" t="s">
        <v>1058</v>
      </c>
      <c r="AM510" s="1490" t="s">
        <v>1059</v>
      </c>
      <c r="AN510" s="1490" t="s">
        <v>1058</v>
      </c>
      <c r="AO510" s="1490" t="s">
        <v>1059</v>
      </c>
    </row>
    <row r="511" spans="1:41" ht="48" x14ac:dyDescent="0.2">
      <c r="A511" t="str">
        <f>IF(Test_Bible!B218="","F","O")</f>
        <v>O</v>
      </c>
      <c r="B511" s="1700" t="str">
        <f>'Cpts AR +indép + Sommaire'!G78</f>
        <v>Interférence lien affectif ou symbolique</v>
      </c>
      <c r="C511" s="379" t="str">
        <f>'Cpts AR +indép + Sommaire'!C78</f>
        <v>PFA28</v>
      </c>
      <c r="D511" s="25" t="str">
        <f>'Cpts AR +indép + Sommaire'!D78</f>
        <v xml:space="preserve">L’autre parent permet à votre enfant d'apporter des objets (jouets ou cadeaux reçus) provenant de chez vous. </v>
      </c>
      <c r="E511" s="78" t="s">
        <v>1040</v>
      </c>
      <c r="F511" s="709">
        <f>'Cpts AR +indép + Sommaire'!E78</f>
        <v>7</v>
      </c>
      <c r="G511" s="709">
        <f>'Cpts AR +indép + Sommaire'!F78</f>
        <v>2</v>
      </c>
      <c r="H511" s="709">
        <f>F511*G511</f>
        <v>14</v>
      </c>
      <c r="I511" s="1374">
        <v>11</v>
      </c>
      <c r="J511" s="1375">
        <v>11</v>
      </c>
      <c r="K511" s="31" t="b">
        <f>IF(AND(F511&gt;=I511,F511&lt;=J511),TRUE,FALSE)</f>
        <v>0</v>
      </c>
      <c r="L511" s="31"/>
      <c r="M511" s="31"/>
      <c r="N511" s="31"/>
      <c r="O511" s="1351"/>
      <c r="P511" s="1350">
        <v>4</v>
      </c>
      <c r="Q511" s="1343">
        <v>7</v>
      </c>
      <c r="R511" s="1351" t="b">
        <f>IF(AND(F511&gt;=P511,F511&lt;=Q511),TRUE,FALSE)</f>
        <v>1</v>
      </c>
      <c r="S511" s="1350">
        <v>4</v>
      </c>
      <c r="T511" s="1343">
        <v>7</v>
      </c>
      <c r="U511" s="1351" t="b">
        <f>IF(AND(F511&gt;=S511,F511&lt;=T511),TRUE,FALSE)</f>
        <v>1</v>
      </c>
      <c r="V511" s="807"/>
      <c r="W511" s="819"/>
      <c r="X511" s="820"/>
      <c r="Y511" s="819"/>
      <c r="Z511" s="820"/>
      <c r="AA511" s="819"/>
      <c r="AB511" s="820"/>
      <c r="AD511" s="10"/>
      <c r="AE511" s="10"/>
      <c r="AF511" s="10"/>
      <c r="AG511" s="832">
        <f>IF($K511=TRUE,H511,0)</f>
        <v>0</v>
      </c>
      <c r="AH511" s="832">
        <f>IF($R511=TRUE,H511,0)</f>
        <v>14</v>
      </c>
      <c r="AI511" s="832">
        <f>IF($U511=TRUE,H511,0)</f>
        <v>14</v>
      </c>
      <c r="AJ511" s="1490">
        <f t="shared" ref="AJ511:AJ512" si="1055">IF(OR(I511=11,A511="F"),0,G511*I511)</f>
        <v>0</v>
      </c>
      <c r="AK511" s="1490">
        <f t="shared" ref="AK511:AK512" si="1056">IF(OR(J511=11,A511="F"),0,G511*J511)</f>
        <v>0</v>
      </c>
      <c r="AL511" s="1490">
        <f t="shared" ref="AL511:AL512" si="1057">IF(OR(P511=11,A511="F"),0,G511*P511)</f>
        <v>8</v>
      </c>
      <c r="AM511" s="1490">
        <f t="shared" ref="AM511:AM512" si="1058">IF(OR(Q511=11,A511="F"),0,G511*Q511)</f>
        <v>14</v>
      </c>
      <c r="AN511" s="1490">
        <f t="shared" ref="AN511:AN512" si="1059">IF(OR(S511=11,A511="F"),0,S511*G511)</f>
        <v>8</v>
      </c>
      <c r="AO511" s="1490">
        <f t="shared" ref="AO511:AO512" si="1060">IF(OR(T511=11,A511="F"),0,T511*G511)</f>
        <v>14</v>
      </c>
    </row>
    <row r="512" spans="1:41" ht="48" x14ac:dyDescent="0.2">
      <c r="A512" t="str">
        <f>IF(Test_Bible!B219="","F","O")</f>
        <v>O</v>
      </c>
      <c r="B512" s="1700" t="str">
        <f>'Cpts AR +indép + Sommaire'!G79</f>
        <v>Interférence lien affectif ou symbolique</v>
      </c>
      <c r="C512" s="379" t="str">
        <f>'Cpts AR +indép + Sommaire'!C79</f>
        <v>PFA28a</v>
      </c>
      <c r="D512" s="25" t="str">
        <f>'Cpts AR +indép + Sommaire'!D79</f>
        <v xml:space="preserve">L’autre parent jette les cadeaux que vous avez offerts à votre enfant ou proscrit les photographies de vous dans sa demeure. </v>
      </c>
      <c r="E512" s="78"/>
      <c r="F512" s="709">
        <f>'Cpts AR +indép + Sommaire'!E79</f>
        <v>4</v>
      </c>
      <c r="G512" s="709">
        <f>'Cpts AR +indép + Sommaire'!F79</f>
        <v>3</v>
      </c>
      <c r="H512" s="709">
        <f>F512*G512</f>
        <v>12</v>
      </c>
      <c r="I512" s="1350">
        <v>4</v>
      </c>
      <c r="J512" s="1343">
        <v>10</v>
      </c>
      <c r="K512" s="31" t="b">
        <f>IF(AND(F512&gt;=I512,F512&lt;=J512),TRUE,FALSE)</f>
        <v>1</v>
      </c>
      <c r="L512" s="31"/>
      <c r="M512" s="31"/>
      <c r="N512" s="31"/>
      <c r="O512" s="1351"/>
      <c r="P512" s="1374">
        <v>11</v>
      </c>
      <c r="Q512" s="1375">
        <v>11</v>
      </c>
      <c r="R512" s="1351" t="b">
        <f>IF(AND(F512&gt;=P512,F512&lt;=Q512),TRUE,FALSE)</f>
        <v>0</v>
      </c>
      <c r="S512" s="1374">
        <v>11</v>
      </c>
      <c r="T512" s="1375">
        <v>11</v>
      </c>
      <c r="U512" s="1351" t="b">
        <f>IF(AND(F512&gt;=S512,F512&lt;=T512),TRUE,FALSE)</f>
        <v>0</v>
      </c>
      <c r="V512" s="807"/>
      <c r="W512" s="821"/>
      <c r="X512" s="822"/>
      <c r="Y512" s="821"/>
      <c r="Z512" s="822"/>
      <c r="AA512" s="821"/>
      <c r="AB512" s="822"/>
      <c r="AD512" s="10"/>
      <c r="AE512" s="10"/>
      <c r="AF512" s="10"/>
      <c r="AG512" s="832">
        <f>IF($K512=TRUE,H512,0)</f>
        <v>12</v>
      </c>
      <c r="AH512" s="832">
        <f>IF($R512=TRUE,H512,0)</f>
        <v>0</v>
      </c>
      <c r="AI512" s="832">
        <f>IF($U512=TRUE,H512,0)</f>
        <v>0</v>
      </c>
      <c r="AJ512" s="1490">
        <f t="shared" si="1055"/>
        <v>12</v>
      </c>
      <c r="AK512" s="1490">
        <f t="shared" si="1056"/>
        <v>30</v>
      </c>
      <c r="AL512" s="1490">
        <f t="shared" si="1057"/>
        <v>0</v>
      </c>
      <c r="AM512" s="1490">
        <f t="shared" si="1058"/>
        <v>0</v>
      </c>
      <c r="AN512" s="1490">
        <f t="shared" si="1059"/>
        <v>0</v>
      </c>
      <c r="AO512" s="1490">
        <f t="shared" si="1060"/>
        <v>0</v>
      </c>
    </row>
    <row r="513" spans="1:41" ht="34" x14ac:dyDescent="0.2">
      <c r="B513" s="1700"/>
      <c r="C513" s="710" t="s">
        <v>609</v>
      </c>
      <c r="D513" s="711" t="str">
        <f>_xlfn.XLOOKUP(H513,H511:H512,D511:D512)</f>
        <v xml:space="preserve">L’autre parent jette les cadeaux que vous avez offerts à votre enfant ou proscrit les photographies de vous dans sa demeure. </v>
      </c>
      <c r="E513" s="712">
        <f>_xlfn.XLOOKUP(H513,H511:H512,E511:E512)</f>
        <v>0</v>
      </c>
      <c r="F513" s="713"/>
      <c r="G513" s="713"/>
      <c r="H513" s="713">
        <f>IF(AND(K511=TRUE,K512=FALSE),H511,IF(AND(K511=FALSE,K512=TRUE),H512,MAX(H511,H512)))</f>
        <v>12</v>
      </c>
      <c r="I513" s="1352"/>
      <c r="J513" s="714"/>
      <c r="K513" s="715" t="b">
        <f>IF(AND(K511=FALSE,K512=FALSE),FALSE,TRUE)</f>
        <v>1</v>
      </c>
      <c r="L513" s="31"/>
      <c r="M513" s="31"/>
      <c r="N513" s="31"/>
      <c r="O513" s="1351"/>
      <c r="P513" s="1352"/>
      <c r="Q513" s="714"/>
      <c r="R513" s="1365" t="b">
        <f>IF(AND(R511=FALSE,R512=FALSE),FALSE,TRUE)</f>
        <v>1</v>
      </c>
      <c r="S513" s="1352"/>
      <c r="T513" s="714"/>
      <c r="U513" s="1365" t="b">
        <f>IF(AND(U511=FALSE,U512=FALSE),FALSE,TRUE)</f>
        <v>1</v>
      </c>
      <c r="V513" s="807"/>
      <c r="W513" s="821"/>
      <c r="X513" s="822"/>
      <c r="Y513" s="821"/>
      <c r="Z513" s="822"/>
      <c r="AA513" s="821"/>
      <c r="AB513" s="822"/>
      <c r="AD513" s="10"/>
      <c r="AE513" s="10"/>
      <c r="AF513" s="10"/>
      <c r="AG513" s="1740">
        <f>IF($K513=TRUE,MAX(AG511:AG512),0)</f>
        <v>12</v>
      </c>
      <c r="AH513" s="1740">
        <f>IF($R513=TRUE,MAX(AH511:AH512),0)</f>
        <v>14</v>
      </c>
      <c r="AI513" s="1740">
        <f>IF($U513=TRUE,MAX(AI511:AI512),0)</f>
        <v>14</v>
      </c>
      <c r="AJ513" s="1739">
        <f>MAX(AJ511:AJ512)</f>
        <v>12</v>
      </c>
      <c r="AK513" s="1739">
        <f t="shared" ref="AK513" si="1061">MAX(AK511:AK512)</f>
        <v>30</v>
      </c>
      <c r="AL513" s="1739">
        <f t="shared" ref="AL513" si="1062">MAX(AL511:AL512)</f>
        <v>8</v>
      </c>
      <c r="AM513" s="1739">
        <f t="shared" ref="AM513" si="1063">MAX(AM511:AM512)</f>
        <v>14</v>
      </c>
      <c r="AN513" s="1739">
        <f t="shared" ref="AN513" si="1064">MAX(AN511:AN512)</f>
        <v>8</v>
      </c>
      <c r="AO513" s="1739">
        <f t="shared" ref="AO513" si="1065">MAX(AO511:AO512)</f>
        <v>14</v>
      </c>
    </row>
    <row r="514" spans="1:41" ht="16" x14ac:dyDescent="0.2">
      <c r="B514" s="1700"/>
      <c r="C514" s="38" t="s">
        <v>242</v>
      </c>
      <c r="D514" s="25"/>
      <c r="E514" s="78"/>
      <c r="F514" s="709"/>
      <c r="G514" s="708"/>
      <c r="H514" s="709">
        <f>F514*G514</f>
        <v>0</v>
      </c>
      <c r="I514" s="1374">
        <v>11</v>
      </c>
      <c r="J514" s="1375">
        <v>11</v>
      </c>
      <c r="K514" s="31" t="b">
        <f>IF(AND(F514&gt;=I514,F514&lt;=J514),TRUE,FALSE)</f>
        <v>0</v>
      </c>
      <c r="L514" s="31"/>
      <c r="M514" s="31"/>
      <c r="N514" s="31"/>
      <c r="O514" s="1351"/>
      <c r="P514" s="1374">
        <v>11</v>
      </c>
      <c r="Q514" s="1375">
        <v>11</v>
      </c>
      <c r="R514" s="1351" t="b">
        <f>IF(AND(F514&gt;=P514,F514&lt;=Q514),TRUE,FALSE)</f>
        <v>0</v>
      </c>
      <c r="S514" s="1374">
        <v>11</v>
      </c>
      <c r="T514" s="1375">
        <v>11</v>
      </c>
      <c r="U514" s="1351" t="b">
        <f>IF(AND(F514&gt;=S514,F514&lt;=T514),TRUE,FALSE)</f>
        <v>0</v>
      </c>
      <c r="V514" s="807"/>
      <c r="W514" s="821"/>
      <c r="X514" s="822"/>
      <c r="Y514" s="821"/>
      <c r="Z514" s="822"/>
      <c r="AA514" s="821"/>
      <c r="AB514" s="822"/>
      <c r="AD514" s="10"/>
      <c r="AE514" s="10"/>
      <c r="AF514" s="10"/>
      <c r="AG514" s="832">
        <f>IF(K514=TRUE,H514,0)</f>
        <v>0</v>
      </c>
      <c r="AH514" s="832">
        <f>IF(R514=TRUE,H514,0)</f>
        <v>0</v>
      </c>
      <c r="AI514" s="832">
        <f>IF(U514=TRUE,H514,0)</f>
        <v>0</v>
      </c>
      <c r="AJ514" s="1490">
        <f t="shared" ref="AJ514:AJ515" si="1066">IF(OR(I514=11,A514="F"),0,G514*I514)</f>
        <v>0</v>
      </c>
      <c r="AK514" s="1490">
        <f t="shared" ref="AK514:AK515" si="1067">IF(OR(J514=11,A514="F"),0,G514*J514)</f>
        <v>0</v>
      </c>
      <c r="AL514" s="1490">
        <f t="shared" ref="AL514:AL515" si="1068">IF(OR(P514=11,A514="F"),0,G514*P514)</f>
        <v>0</v>
      </c>
      <c r="AM514" s="1490">
        <f t="shared" ref="AM514:AM515" si="1069">IF(OR(Q514=11,A514="F"),0,G514*Q514)</f>
        <v>0</v>
      </c>
      <c r="AN514" s="1490">
        <f t="shared" ref="AN514:AN515" si="1070">IF(OR(S514=11,A514="F"),0,S514*G514)</f>
        <v>0</v>
      </c>
      <c r="AO514" s="1490">
        <f t="shared" ref="AO514:AO515" si="1071">IF(OR(T514=11,A514="F"),0,T514*G514)</f>
        <v>0</v>
      </c>
    </row>
    <row r="515" spans="1:41" ht="16" x14ac:dyDescent="0.2">
      <c r="B515" s="1700"/>
      <c r="C515" s="38" t="s">
        <v>242</v>
      </c>
      <c r="D515" s="25"/>
      <c r="E515" s="48"/>
      <c r="F515" s="27"/>
      <c r="G515" s="27"/>
      <c r="H515" s="27">
        <f>F515*G515</f>
        <v>0</v>
      </c>
      <c r="I515" s="1374">
        <v>11</v>
      </c>
      <c r="J515" s="1375">
        <v>11</v>
      </c>
      <c r="K515" s="31" t="b">
        <f>IF(AND(F515&gt;=I515,F515&lt;=J515),TRUE,FALSE)</f>
        <v>0</v>
      </c>
      <c r="L515" s="31"/>
      <c r="M515" s="31"/>
      <c r="N515" s="31"/>
      <c r="O515" s="1351"/>
      <c r="P515" s="1374">
        <v>11</v>
      </c>
      <c r="Q515" s="1375">
        <v>11</v>
      </c>
      <c r="R515" s="1351" t="b">
        <f>IF(AND(F515&gt;=P515,F515&lt;=Q515),TRUE,FALSE)</f>
        <v>0</v>
      </c>
      <c r="S515" s="1374">
        <v>11</v>
      </c>
      <c r="T515" s="1375">
        <v>11</v>
      </c>
      <c r="U515" s="1351" t="b">
        <f>IF(AND(F515&gt;=S515,F515&lt;=T515),TRUE,FALSE)</f>
        <v>0</v>
      </c>
      <c r="V515" s="807"/>
      <c r="W515" s="821"/>
      <c r="X515" s="822"/>
      <c r="Y515" s="821"/>
      <c r="Z515" s="822"/>
      <c r="AA515" s="821"/>
      <c r="AB515" s="822"/>
      <c r="AD515" s="10"/>
      <c r="AE515" s="10"/>
      <c r="AF515" s="10"/>
      <c r="AG515" s="832">
        <f>IF(K515=TRUE,H515,0)</f>
        <v>0</v>
      </c>
      <c r="AH515" s="832">
        <f>IF(R515=TRUE,H515,0)</f>
        <v>0</v>
      </c>
      <c r="AI515" s="832">
        <f>IF(U515=TRUE,H515,0)</f>
        <v>0</v>
      </c>
      <c r="AJ515" s="1490">
        <f t="shared" si="1066"/>
        <v>0</v>
      </c>
      <c r="AK515" s="1490">
        <f t="shared" si="1067"/>
        <v>0</v>
      </c>
      <c r="AL515" s="1490">
        <f t="shared" si="1068"/>
        <v>0</v>
      </c>
      <c r="AM515" s="1490">
        <f t="shared" si="1069"/>
        <v>0</v>
      </c>
      <c r="AN515" s="1490">
        <f t="shared" si="1070"/>
        <v>0</v>
      </c>
      <c r="AO515" s="1490">
        <f t="shared" si="1071"/>
        <v>0</v>
      </c>
    </row>
    <row r="516" spans="1:41" ht="17" thickBot="1" x14ac:dyDescent="0.25">
      <c r="B516" s="1700"/>
      <c r="C516" s="716" t="s">
        <v>610</v>
      </c>
      <c r="D516" s="717">
        <f>_xlfn.XLOOKUP(H516,H514:H515,D514:D515)</f>
        <v>0</v>
      </c>
      <c r="E516" s="718">
        <f>_xlfn.XLOOKUP(H516,H514:H515,E514:E515)</f>
        <v>0</v>
      </c>
      <c r="F516" s="719"/>
      <c r="G516" s="719"/>
      <c r="H516" s="713">
        <f>IF(AND(K514=TRUE,K515=FALSE),H514,IF(AND(K514=FALSE,K515=TRUE),H515,MAX(H514,H515)))</f>
        <v>0</v>
      </c>
      <c r="I516" s="1353"/>
      <c r="J516" s="720"/>
      <c r="K516" s="721" t="b">
        <f>IF(AND(K514=FALSE,K515=FALSE),FALSE,TRUE)</f>
        <v>0</v>
      </c>
      <c r="L516" s="31"/>
      <c r="M516" s="31"/>
      <c r="N516" s="31"/>
      <c r="O516" s="1351"/>
      <c r="P516" s="1353"/>
      <c r="Q516" s="720"/>
      <c r="R516" s="1366" t="b">
        <f>IF(AND(R514=FALSE,R515=FALSE),FALSE,TRUE)</f>
        <v>0</v>
      </c>
      <c r="S516" s="1353"/>
      <c r="T516" s="720"/>
      <c r="U516" s="1366" t="b">
        <f>IF(AND(U514=FALSE,U515=FALSE),FALSE,TRUE)</f>
        <v>0</v>
      </c>
      <c r="V516" s="807"/>
      <c r="W516" s="821"/>
      <c r="X516" s="822"/>
      <c r="Y516" s="821"/>
      <c r="Z516" s="822"/>
      <c r="AA516" s="821"/>
      <c r="AB516" s="822"/>
      <c r="AD516" s="10"/>
      <c r="AE516" s="10"/>
      <c r="AF516" s="10"/>
      <c r="AG516" s="1740">
        <f>IF($K516=TRUE,MAX(AG514:AG515),0)</f>
        <v>0</v>
      </c>
      <c r="AH516" s="1740">
        <f>IF($R516=TRUE,MAX(AH514:AH515),0)</f>
        <v>0</v>
      </c>
      <c r="AI516" s="1740">
        <f>IF($U516=TRUE,MAX(AI514:AI515),0)</f>
        <v>0</v>
      </c>
      <c r="AJ516" s="1739">
        <f>MAX(AJ514:AJ515)</f>
        <v>0</v>
      </c>
      <c r="AK516" s="1739">
        <f t="shared" ref="AK516" si="1072">MAX(AK514:AK515)</f>
        <v>0</v>
      </c>
      <c r="AL516" s="1739">
        <f t="shared" ref="AL516" si="1073">MAX(AL514:AL515)</f>
        <v>0</v>
      </c>
      <c r="AM516" s="1739">
        <f t="shared" ref="AM516" si="1074">MAX(AM514:AM515)</f>
        <v>0</v>
      </c>
      <c r="AN516" s="1739">
        <f t="shared" ref="AN516" si="1075">MAX(AN514:AN515)</f>
        <v>0</v>
      </c>
      <c r="AO516" s="1739">
        <f t="shared" ref="AO516" si="1076">MAX(AO514:AO515)</f>
        <v>0</v>
      </c>
    </row>
    <row r="517" spans="1:41" ht="35" thickBot="1" x14ac:dyDescent="0.25">
      <c r="B517" s="1700"/>
      <c r="C517" s="722" t="s">
        <v>616</v>
      </c>
      <c r="D517" s="723"/>
      <c r="E517" s="723">
        <f>IF(H517=H513,E513,E516)</f>
        <v>0</v>
      </c>
      <c r="F517" s="724"/>
      <c r="G517" s="724"/>
      <c r="H517" s="724">
        <f>IF(AND(K513=TRUE,K516=FALSE),H513,IF(AND(K513=FALSE,K516=TRUE),H516,IF(AND(K513=TRUE,K516=TRUE),H513+H516,MAX(H513,H516))))</f>
        <v>12</v>
      </c>
      <c r="I517" s="1354"/>
      <c r="J517" s="725"/>
      <c r="K517" s="726" t="b">
        <f>IF(AND(K513=FALSE,K516=FALSE),FALSE,TRUE)</f>
        <v>1</v>
      </c>
      <c r="L517" s="1338"/>
      <c r="M517" s="1338"/>
      <c r="N517" s="1338"/>
      <c r="O517" s="1355"/>
      <c r="P517" s="1354"/>
      <c r="Q517" s="725"/>
      <c r="R517" s="726" t="b">
        <f>IF(AND(R513=FALSE,R516=FALSE),FALSE,TRUE)</f>
        <v>1</v>
      </c>
      <c r="S517" s="1354"/>
      <c r="T517" s="725"/>
      <c r="U517" s="726" t="b">
        <f>IF(AND(U513=FALSE,U516=FALSE),FALSE,TRUE)</f>
        <v>1</v>
      </c>
      <c r="V517" s="807"/>
      <c r="W517" s="821" t="str">
        <f>IF(K517=TRUE,"V","F")</f>
        <v>V</v>
      </c>
      <c r="X517" s="822"/>
      <c r="Y517" s="821" t="str">
        <f>IF(R517=TRUE,"V","F")</f>
        <v>V</v>
      </c>
      <c r="Z517" s="822"/>
      <c r="AA517" s="821" t="str">
        <f>IF(U517=TRUE,"V","F")</f>
        <v>V</v>
      </c>
      <c r="AB517" s="822"/>
      <c r="AC517" t="str">
        <f>IF(OR(W517="V",Y517="V"),IF(H516&gt;H513,"Le NC contribue plus que le coparent","Le coparent joue un plus grand rôle que le NC"),"pas de contexte significatif de la part du coparent et NC")</f>
        <v>Le coparent joue un plus grand rôle que le NC</v>
      </c>
      <c r="AD517" s="10"/>
      <c r="AE517" s="10"/>
      <c r="AF517" s="10"/>
      <c r="AG517" s="591">
        <f>IF(AND($K513=TRUE,$K516=FALSE),AG513,IF(AND($K513=FALSE,$K516=TRUE),AG516,IF(AND($K513=TRUE,$K516=TRUE),AG513+AG516,0)))</f>
        <v>12</v>
      </c>
      <c r="AH517" s="591">
        <f>IF(AND($R513=TRUE,$R516=FALSE),AH513,IF(AND($R513=FALSE,$R516=TRUE),AH516,IF(AND($R513=TRUE,$R516=TRUE),AH513+AH516,0)))</f>
        <v>14</v>
      </c>
      <c r="AI517" s="591">
        <f>IF(AND($U513=TRUE,$U516=FALSE),AI513,IF(AND($U513=FALSE,$U516=TRUE),AI516,IF(AND($U513=TRUE,$U516=TRUE),AI513+AI516,0)))</f>
        <v>14</v>
      </c>
      <c r="AJ517" s="591">
        <f>IF(AND($K513=TRUE,$K516=FALSE),AJ513,IF(AND($K513=FALSE,$K516=TRUE),AJ516,IF(AND($K513=TRUE,$K516=TRUE),AJ513+AJ516,MAX(AJ513,AJ516))))</f>
        <v>12</v>
      </c>
      <c r="AK517" s="591">
        <f>IF(AND($K513=TRUE,$K516=FALSE),AK513,IF(AND($K513=FALSE,$K516=TRUE),AK516,IF(AND($K513=TRUE,$K516=TRUE),AK513+AK516,MAX(AK513,AK516))))</f>
        <v>30</v>
      </c>
      <c r="AL517" s="591">
        <f t="shared" ref="AL517" si="1077">IF(AND($R513=TRUE,$R516=FALSE),AL513,IF(AND($R513=FALSE,$R516=TRUE),AL516,IF(AND($R513=TRUE,$R516=TRUE),AL513+AL516,MAX(AL513,AL516))))</f>
        <v>8</v>
      </c>
      <c r="AM517" s="591">
        <f t="shared" ref="AM517" si="1078">IF(AND($R513=TRUE,$R516=FALSE),AM513,IF(AND($R513=FALSE,$R516=TRUE),AM516,IF(AND($R513=TRUE,$R516=TRUE),AM513+AM516,MAX(AM513,AM516))))</f>
        <v>14</v>
      </c>
      <c r="AN517" s="591">
        <f t="shared" ref="AN517" si="1079">IF(AND($U513=TRUE,$U516=FALSE),AN513,IF(AND($U513=FALSE,$U516=TRUE),AN516,IF(AND($U513=TRUE,$U516=TRUE),AN513+AN516,MAX(AN513,AN516))))</f>
        <v>8</v>
      </c>
      <c r="AO517" s="591">
        <f t="shared" ref="AO517" si="1080">IF(AND($U513=TRUE,$U516=FALSE),AO513,IF(AND($U513=FALSE,$U516=TRUE),AO516,IF(AND($U513=TRUE,$U516=TRUE),AO513+AO516,MAX(AO513,AO516))))</f>
        <v>14</v>
      </c>
    </row>
    <row r="518" spans="1:41" ht="21" x14ac:dyDescent="0.2">
      <c r="B518" s="1700"/>
      <c r="C518" s="287"/>
      <c r="D518" s="25"/>
      <c r="E518" s="78"/>
      <c r="F518" s="709"/>
      <c r="G518" s="708"/>
      <c r="H518" s="709"/>
      <c r="I518" s="1374">
        <v>11</v>
      </c>
      <c r="J518" s="1375">
        <v>11</v>
      </c>
      <c r="K518" s="31" t="b">
        <f>IF(AND(F518&gt;=I518,F518&lt;=J518),TRUE,FALSE)</f>
        <v>0</v>
      </c>
      <c r="L518" s="31"/>
      <c r="M518" s="31"/>
      <c r="N518" s="31"/>
      <c r="O518" s="1351"/>
      <c r="P518" s="1374">
        <v>11</v>
      </c>
      <c r="Q518" s="1375">
        <v>11</v>
      </c>
      <c r="R518" s="1351" t="b">
        <f>IF(AND(F518&gt;=P518,F518&lt;=Q518),TRUE,FALSE)</f>
        <v>0</v>
      </c>
      <c r="S518" s="1350"/>
      <c r="T518" s="1343"/>
      <c r="U518" s="1351"/>
      <c r="V518" s="1327"/>
      <c r="W518" s="821" t="s">
        <v>753</v>
      </c>
      <c r="X518" s="822"/>
      <c r="Y518" s="821"/>
      <c r="Z518" s="822"/>
      <c r="AA518" s="821"/>
      <c r="AB518" s="822"/>
      <c r="AD518" s="10"/>
      <c r="AE518" s="10"/>
      <c r="AF518" s="10"/>
      <c r="AG518" s="832">
        <f>IF($K518=TRUE,H518,0)</f>
        <v>0</v>
      </c>
      <c r="AH518" s="832">
        <f>IF($R518=TRUE,H518,0)</f>
        <v>0</v>
      </c>
      <c r="AI518" s="832"/>
      <c r="AJ518" s="1490">
        <f t="shared" ref="AJ518:AJ519" si="1081">IF(OR(I518=11,A518="F"),0,G518*I518)</f>
        <v>0</v>
      </c>
      <c r="AK518" s="1490">
        <f t="shared" ref="AK518:AK519" si="1082">IF(OR(J518=11,A518="F"),0,G518*J518)</f>
        <v>0</v>
      </c>
      <c r="AL518" s="1490">
        <f t="shared" ref="AL518:AL519" si="1083">IF(OR(P518=11,A518="F"),0,G518*P518)</f>
        <v>0</v>
      </c>
      <c r="AM518" s="1490">
        <f t="shared" ref="AM518:AM519" si="1084">IF(OR(Q518=11,A518="F"),0,G518*Q518)</f>
        <v>0</v>
      </c>
      <c r="AN518" s="1490">
        <f t="shared" ref="AN518:AN519" si="1085">IF(OR(S518=11,A518="F"),0,S518*G518)</f>
        <v>0</v>
      </c>
      <c r="AO518" s="1490">
        <f t="shared" ref="AO518:AO519" si="1086">IF(OR(T518=11,A518="F"),0,T518*G518)</f>
        <v>0</v>
      </c>
    </row>
    <row r="519" spans="1:41" ht="52" thickBot="1" x14ac:dyDescent="0.25">
      <c r="A519" t="str">
        <f>IF(Test_Bible!B303="","F","O")</f>
        <v>O</v>
      </c>
      <c r="B519" s="1700" t="str">
        <f>'Cpts AR +indép + Sommaire'!S78</f>
        <v>Interférence lien affectif ou symbolique</v>
      </c>
      <c r="C519" s="287" t="str">
        <f>'Cpts AR +indép + Sommaire'!O78</f>
        <v>E21a</v>
      </c>
      <c r="D519" s="698" t="str">
        <f>'Cpts AR +indép + Sommaire'!P78</f>
        <v xml:space="preserve">Dans quelle mesure diriez-vous que l'autre parent accepte que votre enfant apporte des objets qui proviennent de votre demeure ou de votre milieu ? </v>
      </c>
      <c r="E519" s="78" t="s">
        <v>1039</v>
      </c>
      <c r="F519" s="709">
        <f>'Cpts AR +indép + Sommaire'!Q78</f>
        <v>7</v>
      </c>
      <c r="G519" s="709">
        <f>'Cpts AR +indép + Sommaire'!R78</f>
        <v>2</v>
      </c>
      <c r="H519" s="709">
        <f>F519*G519</f>
        <v>14</v>
      </c>
      <c r="I519" s="1350">
        <v>4</v>
      </c>
      <c r="J519" s="1343">
        <v>10</v>
      </c>
      <c r="K519" s="31" t="b">
        <f>IF(AND(F519&gt;=I519,F519&lt;=J519),TRUE,FALSE)</f>
        <v>1</v>
      </c>
      <c r="L519" s="31"/>
      <c r="M519" s="31"/>
      <c r="N519" s="31"/>
      <c r="O519" s="1351"/>
      <c r="P519" s="1350">
        <v>2</v>
      </c>
      <c r="Q519" s="1343">
        <v>7</v>
      </c>
      <c r="R519" s="1351" t="b">
        <f>IF(AND(F519&gt;=P519,F519&lt;=Q519),TRUE,FALSE)</f>
        <v>1</v>
      </c>
      <c r="S519" s="1374"/>
      <c r="T519" s="1375"/>
      <c r="U519" s="1351"/>
      <c r="V519" s="807"/>
      <c r="W519" s="821"/>
      <c r="X519" s="822"/>
      <c r="Y519" s="821"/>
      <c r="Z519" s="822"/>
      <c r="AA519" s="821"/>
      <c r="AB519" s="822"/>
      <c r="AD519" s="10"/>
      <c r="AE519" s="10"/>
      <c r="AF519" s="10"/>
      <c r="AG519" s="832">
        <f>IF($K519=TRUE,H519,0)</f>
        <v>14</v>
      </c>
      <c r="AH519" s="832">
        <f>IF($R519=TRUE,H519,0)</f>
        <v>14</v>
      </c>
      <c r="AI519" s="832"/>
      <c r="AJ519" s="1490">
        <f t="shared" si="1081"/>
        <v>8</v>
      </c>
      <c r="AK519" s="1490">
        <f t="shared" si="1082"/>
        <v>20</v>
      </c>
      <c r="AL519" s="1490">
        <f t="shared" si="1083"/>
        <v>4</v>
      </c>
      <c r="AM519" s="1490">
        <f t="shared" si="1084"/>
        <v>14</v>
      </c>
      <c r="AN519" s="1490">
        <f t="shared" si="1085"/>
        <v>0</v>
      </c>
      <c r="AO519" s="1490">
        <f t="shared" si="1086"/>
        <v>0</v>
      </c>
    </row>
    <row r="520" spans="1:41" ht="52" thickBot="1" x14ac:dyDescent="0.25">
      <c r="B520" s="1700"/>
      <c r="C520" s="727" t="s">
        <v>611</v>
      </c>
      <c r="D520" s="728" t="str">
        <f>_xlfn.XLOOKUP(H520,H518:H519,D518:D519)</f>
        <v xml:space="preserve">Dans quelle mesure diriez-vous que l'autre parent accepte que votre enfant apporte des objets qui proviennent de votre demeure ou de votre milieu ? </v>
      </c>
      <c r="E520" s="728" t="str">
        <f>_xlfn.XLOOKUP(H520,H518:H519,E518:E519)</f>
        <v>ne peut transporter ses objets d'une demeure à l'autre</v>
      </c>
      <c r="F520" s="729"/>
      <c r="G520" s="729"/>
      <c r="H520" s="729">
        <f>IF(AND(K518=TRUE,K519=FALSE),H518,IF(AND(K518=FALSE,K519=TRUE),H519,MAX(H518,H519)))</f>
        <v>14</v>
      </c>
      <c r="I520" s="1356"/>
      <c r="J520" s="730"/>
      <c r="K520" s="731" t="b">
        <f>IF(AND(K518=FALSE,K519=FALSE),FALSE,TRUE)</f>
        <v>1</v>
      </c>
      <c r="L520" s="1339"/>
      <c r="M520" s="1339"/>
      <c r="N520" s="1339"/>
      <c r="O520" s="1357"/>
      <c r="P520" s="1356"/>
      <c r="Q520" s="730"/>
      <c r="R520" s="731" t="b">
        <f>IF(AND(R518=FALSE,R519=FALSE),FALSE,TRUE)</f>
        <v>1</v>
      </c>
      <c r="S520" s="1356"/>
      <c r="T520" s="730"/>
      <c r="U520" s="731"/>
      <c r="V520" s="807"/>
      <c r="W520" s="821" t="str">
        <f>IF(K520=TRUE,"V","F")</f>
        <v>V</v>
      </c>
      <c r="X520" s="822"/>
      <c r="Y520" s="821" t="str">
        <f>IF(R520=TRUE,"V","F")</f>
        <v>V</v>
      </c>
      <c r="Z520" s="822"/>
      <c r="AA520" s="821"/>
      <c r="AB520" s="822"/>
      <c r="AD520" s="10"/>
      <c r="AE520" s="10"/>
      <c r="AF520" s="10"/>
      <c r="AG520" s="1742">
        <f>IF(AND($K518=TRUE,$K519=FALSE),AG518,IF(AND($K518=FALSE,$K519=TRUE),AG519,IF(AND($K518=TRUE,$K519=TRUE),MAX(AG518,AG519),0)))</f>
        <v>14</v>
      </c>
      <c r="AH520" s="1742">
        <f>IF(AND($R518=TRUE,$R519=FALSE),AH518,IF(AND($R518=FALSE,$R519=TRUE),AH519,IF(AND($R518=TRUE,$R519=TRUE),MAX(AH518,AH519),0)))</f>
        <v>14</v>
      </c>
      <c r="AI520" s="1742"/>
      <c r="AJ520" s="1742">
        <f>IF(AND($K518=TRUE,$K519=FALSE),AJ518,IF(AND($K518=FALSE,$K519=TRUE),AJ519,IF(AND($K518=TRUE,$K519=TRUE),MAX(AJ518,AJ519),0)))</f>
        <v>8</v>
      </c>
      <c r="AK520" s="1742">
        <f>IF(AND($K518=TRUE,$K519=FALSE),AK518,IF(AND($K518=FALSE,$K519=TRUE),AK519,IF(AND($K518=TRUE,$K519=TRUE),MAX(AK518,AK519),0)))</f>
        <v>20</v>
      </c>
      <c r="AL520" s="1742">
        <f t="shared" ref="AL520" si="1087">IF(AND($R518=TRUE,$R519=FALSE),AL518,IF(AND($R518=FALSE,$R519=TRUE),AL519,IF(AND($R518=TRUE,$R519=TRUE),MAX(AL518,AL519),0)))</f>
        <v>4</v>
      </c>
      <c r="AM520" s="1742">
        <f t="shared" ref="AM520" si="1088">IF(AND($R518=TRUE,$R519=FALSE),AM518,IF(AND($R518=FALSE,$R519=TRUE),AM519,IF(AND($R518=TRUE,$R519=TRUE),MAX(AM518,AM519),0)))</f>
        <v>14</v>
      </c>
      <c r="AN520" s="1742"/>
      <c r="AO520" s="1742"/>
    </row>
    <row r="521" spans="1:41" ht="34" x14ac:dyDescent="0.2">
      <c r="B521" s="1700"/>
      <c r="D521" s="386" t="s">
        <v>273</v>
      </c>
      <c r="E521" s="705"/>
      <c r="F521" s="439" t="s">
        <v>349</v>
      </c>
      <c r="G521" s="33"/>
      <c r="H521" s="33">
        <f>IF(AND(K517=TRUE,K520=FALSE),H517,IF(AND(K517=FALSE,K520=TRUE),H520,IF(AND(K517=TRUE,K520=TRUE),H517+H520,MAX(H517,H520))))</f>
        <v>26</v>
      </c>
      <c r="I521" s="1358"/>
      <c r="J521" s="440"/>
      <c r="K521" s="1341"/>
      <c r="L521" s="1342" t="str">
        <f>IF(AND(K520=TRUE,K517=TRUE),E520,"")</f>
        <v>ne peut transporter ses objets d'une demeure à l'autre</v>
      </c>
      <c r="M521" s="1342" t="str">
        <f>IF(AND(K517=TRUE,K520=FALSE),"Bien que le parent "&amp;E517&amp;" l'enfant ne semble pas s'ingérer","")</f>
        <v/>
      </c>
      <c r="N521" s="1342" t="str">
        <f>IF(AND(K517=FALSE,K520=TRUE),E520&amp;" sans signe de la participation du parent favorisé et|ou nouveau conjoint.e","")</f>
        <v/>
      </c>
      <c r="O521" s="1359" t="str">
        <f>IF(AND(K517=FALSE,K520=FALSE),"aucun comportement significatif de cette nature","")</f>
        <v/>
      </c>
      <c r="P521" s="1358"/>
      <c r="Q521" s="440"/>
      <c r="R521" s="1367"/>
      <c r="S521" s="1358"/>
      <c r="T521" s="440"/>
      <c r="U521" s="1367"/>
      <c r="V521" s="807"/>
      <c r="W521" s="823"/>
      <c r="X521" s="824">
        <f>IF(AND(W517="V",W520="V"),2,IF(OR(W517="V",W520="V"),1,0))</f>
        <v>2</v>
      </c>
      <c r="Y521" s="823"/>
      <c r="Z521" s="824">
        <f>IF(OR(Y517="V",Y520="V"),1,0)</f>
        <v>1</v>
      </c>
      <c r="AA521" s="823"/>
      <c r="AB521" s="824"/>
      <c r="AD521" s="10"/>
      <c r="AE521" s="10"/>
      <c r="AF521" s="10"/>
      <c r="AG521" s="1738">
        <f>IF(AND($W517="V",$W520="F"),AG517,IF(AND($W517="F",$W520="V"),AG520,IF(AND($W517="V",$W520="V"),AG517+AG520,0)))</f>
        <v>26</v>
      </c>
      <c r="AH521" s="1738">
        <f>IF(AND($Y517="V",$Y520="F"),AH517,IF(AND($Y517="F",$Y520="V"),AH520,IF(AND($Y517="V",$Y520="V"),AH517+AH520,0)))</f>
        <v>28</v>
      </c>
      <c r="AI521" s="1738"/>
      <c r="AJ521" s="1738">
        <f>IF(AND($W517="V",$W520="F"),AJ517,IF(AND($W517="F",$W520="V"),AJ520,IF(AND($W517="V",$W520="V"),AJ517+AJ520,0)))</f>
        <v>20</v>
      </c>
      <c r="AK521" s="1738">
        <f>IF(AND($W517="V",$W520="F"),AK517,IF(AND($W517="F",$W520="V"),AK520,IF(AND($W517="V",$W520="V"),AK517+AK520,0)))</f>
        <v>50</v>
      </c>
      <c r="AL521" s="1738">
        <f>IF(AND($Y517="V",$Y520="F"),AL517,IF(AND($Y517="F",$Y520="V"),AL520,IF(AND($Y517="V",$Y520="V"),AL517+AL520,0)))</f>
        <v>12</v>
      </c>
      <c r="AM521" s="1738">
        <f>IF(AND($Y517="V",$Y520="F"),AM517,IF(AND($Y517="F",$Y520="V"),AM520,IF(AND($Y517="V",$Y520="V"),AM517+AM520,0)))</f>
        <v>28</v>
      </c>
      <c r="AN521" s="1738"/>
      <c r="AO521" s="1738"/>
    </row>
    <row r="522" spans="1:41" ht="16" x14ac:dyDescent="0.2">
      <c r="B522" s="1700"/>
      <c r="C522" t="s">
        <v>238</v>
      </c>
      <c r="I522" s="122"/>
      <c r="L522" s="32"/>
      <c r="M522" s="32"/>
      <c r="N522" s="32"/>
      <c r="O522" s="1379"/>
      <c r="P522" s="122"/>
      <c r="R522" s="292"/>
      <c r="S522" s="122"/>
      <c r="U522" s="292"/>
      <c r="V522" s="145"/>
      <c r="W522" s="821"/>
      <c r="X522" s="822"/>
      <c r="Y522" s="821"/>
      <c r="Z522" s="822"/>
      <c r="AA522" s="821"/>
      <c r="AB522" s="822"/>
      <c r="AD522" s="10"/>
      <c r="AE522" s="10"/>
      <c r="AF522" s="10"/>
      <c r="AG522" s="832"/>
      <c r="AH522" s="832"/>
      <c r="AI522" s="832"/>
      <c r="AJ522" s="1490"/>
      <c r="AK522" s="1490"/>
      <c r="AL522" s="1490"/>
      <c r="AM522" s="1490"/>
      <c r="AN522" s="1490"/>
      <c r="AO522" s="1490"/>
    </row>
    <row r="523" spans="1:41" ht="48" x14ac:dyDescent="0.2">
      <c r="A523" t="str">
        <f>IF(Test_Bible!B139="","F","O")</f>
        <v>O</v>
      </c>
      <c r="B523" s="1700" t="str">
        <f>'Cpts AR +indép + Sommaire'!Y78</f>
        <v>Interférence lien affectif ou symbolique</v>
      </c>
      <c r="C523" s="825" t="str">
        <f>'Cpts AR +indép + Sommaire'!U78</f>
        <v>PCR11</v>
      </c>
      <c r="D523" s="826" t="str">
        <f>'Cpts AR +indép + Sommaire'!V78</f>
        <v>Vous acceptez que les vêtements et/ou jouets de votre enfant se promènent d’une maison à l’autre.</v>
      </c>
      <c r="E523" s="826"/>
      <c r="F523" s="830">
        <f>'Cpts AR +indép + Sommaire'!W78</f>
        <v>1</v>
      </c>
      <c r="G523" s="830">
        <f>'Cpts AR +indép + Sommaire'!X78</f>
        <v>2</v>
      </c>
      <c r="H523" s="830">
        <f>F523*G523</f>
        <v>2</v>
      </c>
      <c r="I523" s="1374">
        <v>11</v>
      </c>
      <c r="J523" s="1375">
        <v>11</v>
      </c>
      <c r="K523" s="31" t="b">
        <f>IF(AND(F523&gt;=I523,F523&lt;=J523),TRUE,FALSE)</f>
        <v>0</v>
      </c>
      <c r="L523" s="26"/>
      <c r="M523" s="26"/>
      <c r="N523" s="26"/>
      <c r="O523" s="1360"/>
      <c r="P523" s="1350">
        <v>2</v>
      </c>
      <c r="Q523" s="1343">
        <v>7</v>
      </c>
      <c r="R523" s="1351" t="b">
        <f>IF(AND(F523&gt;=P523,F523&lt;=Q523),TRUE,FALSE)</f>
        <v>0</v>
      </c>
      <c r="S523" s="1350">
        <v>4</v>
      </c>
      <c r="T523" s="1343">
        <v>7</v>
      </c>
      <c r="U523" s="1351" t="b">
        <f>IF(AND(F523&gt;=S523,F523&lt;=T523),TRUE,FALSE)</f>
        <v>0</v>
      </c>
      <c r="V523" s="32"/>
      <c r="W523" s="821"/>
      <c r="X523" s="822"/>
      <c r="Y523" s="821"/>
      <c r="Z523" s="822"/>
      <c r="AA523" s="821"/>
      <c r="AB523" s="822"/>
      <c r="AD523" s="10"/>
      <c r="AE523" s="10"/>
      <c r="AF523" s="10"/>
      <c r="AG523" s="832">
        <f>IF($K523=TRUE,H523,0)</f>
        <v>0</v>
      </c>
      <c r="AH523" s="832">
        <f>IF($R523=TRUE,H523,0)</f>
        <v>0</v>
      </c>
      <c r="AI523" s="832">
        <f>IF($U523=TRUE,H523,0)</f>
        <v>0</v>
      </c>
      <c r="AJ523" s="1490">
        <f t="shared" ref="AJ523:AJ524" si="1089">IF(OR(I523=11,A523="F"),0,G523*I523)</f>
        <v>0</v>
      </c>
      <c r="AK523" s="1490">
        <f t="shared" ref="AK523:AK524" si="1090">IF(OR(J523=11,A523="F"),0,G523*J523)</f>
        <v>0</v>
      </c>
      <c r="AL523" s="1490">
        <f t="shared" ref="AL523:AL524" si="1091">IF(OR(P523=11,A523="F"),0,G523*P523)</f>
        <v>4</v>
      </c>
      <c r="AM523" s="1490">
        <f t="shared" ref="AM523:AM524" si="1092">IF(OR(Q523=11,A523="F"),0,G523*Q523)</f>
        <v>14</v>
      </c>
      <c r="AN523" s="1490">
        <f t="shared" ref="AN523:AN524" si="1093">IF(OR(S523=11,A523="F"),0,S523*G523)</f>
        <v>8</v>
      </c>
      <c r="AO523" s="1490">
        <f t="shared" ref="AO523:AO524" si="1094">IF(OR(T523=11,A523="F"),0,T523*G523)</f>
        <v>14</v>
      </c>
    </row>
    <row r="524" spans="1:41" ht="20" thickBot="1" x14ac:dyDescent="0.25">
      <c r="B524" s="1700"/>
      <c r="C524" s="825"/>
      <c r="D524" s="829"/>
      <c r="E524" s="826"/>
      <c r="F524" s="830"/>
      <c r="G524" s="830"/>
      <c r="H524" s="830">
        <f>F524*G524</f>
        <v>0</v>
      </c>
      <c r="I524" s="1374">
        <v>11</v>
      </c>
      <c r="J524" s="1375">
        <v>11</v>
      </c>
      <c r="K524" s="31" t="b">
        <f>IF(AND(F524&gt;=I524,F524&lt;=J524),TRUE,FALSE)</f>
        <v>0</v>
      </c>
      <c r="L524" s="26"/>
      <c r="M524" s="26"/>
      <c r="N524" s="26"/>
      <c r="O524" s="1360"/>
      <c r="P524" s="1374">
        <v>11</v>
      </c>
      <c r="Q524" s="1375">
        <v>11</v>
      </c>
      <c r="R524" s="1351" t="b">
        <f>IF(AND(F524&gt;=P524,F524&lt;=Q524),TRUE,FALSE)</f>
        <v>0</v>
      </c>
      <c r="S524" s="1374">
        <v>11</v>
      </c>
      <c r="T524" s="1375">
        <v>11</v>
      </c>
      <c r="U524" s="1351" t="b">
        <f>IF(AND(F524&gt;=S524,F524&lt;=T524),TRUE,FALSE)</f>
        <v>0</v>
      </c>
      <c r="V524" s="32"/>
      <c r="W524" s="821"/>
      <c r="X524" s="822"/>
      <c r="Y524" s="821"/>
      <c r="Z524" s="822"/>
      <c r="AA524" s="821"/>
      <c r="AB524" s="822"/>
      <c r="AD524" s="10"/>
      <c r="AE524" s="10"/>
      <c r="AF524" s="10"/>
      <c r="AG524" s="832">
        <f>IF($K524=TRUE,H524,0)</f>
        <v>0</v>
      </c>
      <c r="AH524" s="832">
        <f>IF($R524=TRUE,H524,0)</f>
        <v>0</v>
      </c>
      <c r="AI524" s="832">
        <f>IF($U524=TRUE,H524,0)</f>
        <v>0</v>
      </c>
      <c r="AJ524" s="1490">
        <f t="shared" si="1089"/>
        <v>0</v>
      </c>
      <c r="AK524" s="1490">
        <f t="shared" si="1090"/>
        <v>0</v>
      </c>
      <c r="AL524" s="1490">
        <f t="shared" si="1091"/>
        <v>0</v>
      </c>
      <c r="AM524" s="1490">
        <f t="shared" si="1092"/>
        <v>0</v>
      </c>
      <c r="AN524" s="1490">
        <f t="shared" si="1093"/>
        <v>0</v>
      </c>
      <c r="AO524" s="1490">
        <f t="shared" si="1094"/>
        <v>0</v>
      </c>
    </row>
    <row r="525" spans="1:41" ht="27" thickBot="1" x14ac:dyDescent="0.35">
      <c r="H525" s="33">
        <f>IF(AND(K523=TRUE,K524=FALSE),H523,IF(AND(K523=FALSE,K524=TRUE),H524,MAX(H523,H524)))</f>
        <v>2</v>
      </c>
      <c r="I525" s="1371"/>
      <c r="J525" s="1372"/>
      <c r="K525" s="1378" t="b">
        <f>IF(AND(K523=FALSE,K524=FALSE),FALSE,TRUE)</f>
        <v>0</v>
      </c>
      <c r="L525" s="1361"/>
      <c r="M525" s="1362"/>
      <c r="N525" s="1362"/>
      <c r="O525" s="1363"/>
      <c r="P525" s="1371"/>
      <c r="Q525" s="1372"/>
      <c r="R525" s="1378" t="b">
        <f>IF(AND(R523=FALSE,R524=FALSE),FALSE,TRUE)</f>
        <v>0</v>
      </c>
      <c r="S525" s="1383"/>
      <c r="T525" s="1384"/>
      <c r="U525" s="1385" t="b">
        <f>IF(AND(U523=FALSE,U524=FALSE),FALSE,TRUE)</f>
        <v>0</v>
      </c>
      <c r="W525" s="1315" t="str">
        <f>IF(K525=TRUE,"V","F")</f>
        <v>F</v>
      </c>
      <c r="X525" s="1316"/>
      <c r="Y525" s="1315" t="str">
        <f>IF(R525=TRUE,"V","F")</f>
        <v>F</v>
      </c>
      <c r="Z525" s="1316"/>
      <c r="AA525" s="1315" t="str">
        <f>IF(U525=TRUE,"V","F")</f>
        <v>F</v>
      </c>
      <c r="AB525" s="1316"/>
      <c r="AD525" s="10"/>
      <c r="AE525" s="10"/>
      <c r="AF525" s="10"/>
      <c r="AG525" s="1742">
        <f>IF(AND($K523=TRUE,$K524=FALSE),AG523,IF(AND($K523=FALSE,$K524=TRUE),AG524,MAX(AG523,AG524)))</f>
        <v>0</v>
      </c>
      <c r="AH525" s="1742">
        <f>IF(AND($R523=TRUE,$R524=FALSE),AH523,IF(AND($R523=FALSE,$R524=TRUE),AH524,MAX(AH523,AH524)))</f>
        <v>0</v>
      </c>
      <c r="AI525" s="1742">
        <f>IF(AND($U523=TRUE,$U524=FALSE),AI523,IF(AND($U523=FALSE,$U524=TRUE),AI524,MAX(AI523,AI524)))</f>
        <v>0</v>
      </c>
      <c r="AJ525" s="1742">
        <f>IF(AND($K523=TRUE,$K524=FALSE),AJ523,IF(AND($K523=FALSE,$K524=TRUE),AJ524,MAX(AJ523,AJ524)))</f>
        <v>0</v>
      </c>
      <c r="AK525" s="1742">
        <f>IF(AND($K523=TRUE,$K524=FALSE),AK523,IF(AND($K523=FALSE,$K524=TRUE),AK524,MAX(AK523,AK524)))</f>
        <v>0</v>
      </c>
      <c r="AL525" s="1742">
        <f>IF(AND($R523=TRUE,$R524=FALSE),AL523,IF(AND($R523=FALSE,$R524=TRUE),AL524,MAX(AL523,AL524)))</f>
        <v>4</v>
      </c>
      <c r="AM525" s="1742">
        <f>IF(AND($R523=TRUE,$R524=FALSE),AM523,IF(AND($R523=FALSE,$R524=TRUE),AM524,MAX(AM523,AM524)))</f>
        <v>14</v>
      </c>
      <c r="AN525" s="1742">
        <f>IF(AND($U523=TRUE,$U524=FALSE),AN523,IF(AND($U523=FALSE,$U524=TRUE),AN524,MAX(AN523,AN524)))</f>
        <v>8</v>
      </c>
      <c r="AO525" s="1742">
        <f>IF(AND($U523=TRUE,$U524=FALSE),AO523,IF(AND($U523=FALSE,$U524=TRUE),AO524,MAX(AO523,AO524)))</f>
        <v>14</v>
      </c>
    </row>
    <row r="526" spans="1:41" x14ac:dyDescent="0.3">
      <c r="W526" s="1376"/>
      <c r="X526" s="1377">
        <f>IF(AND(W525="V",W517="V"),X521-1,X521)</f>
        <v>2</v>
      </c>
      <c r="Y526" s="1376"/>
      <c r="Z526" s="1377">
        <f>IF(OR(Y517="V",Y520="V",Y525="V"),1,0)</f>
        <v>1</v>
      </c>
      <c r="AA526" s="1376"/>
      <c r="AB526" s="1377">
        <f>IF(AA517="V",1,IF(AA525="V",1,0))</f>
        <v>1</v>
      </c>
      <c r="AD526" s="10">
        <f>X526</f>
        <v>2</v>
      </c>
      <c r="AE526" s="10">
        <f>Z526</f>
        <v>1</v>
      </c>
      <c r="AF526" s="10">
        <f>AB526</f>
        <v>1</v>
      </c>
      <c r="AG526" s="1741">
        <f>IF($W525="F",AG521,AG521+AG525)</f>
        <v>26</v>
      </c>
      <c r="AH526" s="1741">
        <f>IF($Y525="F",AH521,AH521+AH525)</f>
        <v>28</v>
      </c>
      <c r="AI526" s="1741">
        <f>IF(AND($AA517="V",$AA525="F"),AI517,IF(AND($AA517="F",$AA525="V"),AI525,IF(AND($AA517="V",$AA525="V"),AI517+AI525,0)))</f>
        <v>14</v>
      </c>
      <c r="AJ526" s="1741">
        <f>IF($W525="F",AJ521,AJ521+AJ525)</f>
        <v>20</v>
      </c>
      <c r="AK526" s="1741">
        <f t="shared" ref="AK526" si="1095">IF($W525="F",AK521,AK521+AK525)</f>
        <v>50</v>
      </c>
      <c r="AL526" s="1741">
        <f t="shared" ref="AL526" si="1096">IF($Y525="F",AL521,AL521+AL525)</f>
        <v>12</v>
      </c>
      <c r="AM526" s="1741">
        <f t="shared" ref="AM526" si="1097">IF($Y525="F",AM521,AM521+AM525)</f>
        <v>28</v>
      </c>
      <c r="AN526" s="1741">
        <f t="shared" ref="AN526" si="1098">IF(AND($AA517="V",$AA525="F"),AN517,IF(AND($AA517="F",$AA525="V"),AN525,IF(AND($AA517="V",$AA525="V"),AN517+AN525,0)))</f>
        <v>8</v>
      </c>
      <c r="AO526" s="1741">
        <f t="shared" ref="AO526" si="1099">IF(AND($AA517="V",$AA525="F"),AO517,IF(AND($AA517="F",$AA525="V"),AO525,IF(AND($AA517="V",$AA525="V"),AO517+AO525,0)))</f>
        <v>14</v>
      </c>
    </row>
    <row r="527" spans="1:41" x14ac:dyDescent="0.3">
      <c r="W527" s="1387"/>
      <c r="X527" s="1388"/>
      <c r="Y527" s="1231"/>
      <c r="Z527" s="1231"/>
      <c r="AA527" s="1231"/>
      <c r="AB527" s="1231"/>
      <c r="AD527" s="10"/>
      <c r="AE527" s="10"/>
      <c r="AF527" s="10"/>
    </row>
    <row r="528" spans="1:41" x14ac:dyDescent="0.3">
      <c r="B528" s="1699">
        <v>26</v>
      </c>
      <c r="D528" s="441" t="str">
        <f>'Cpts AR +indép + Sommaire'!B81</f>
        <v>Sérénité et confidence face à la séparation</v>
      </c>
      <c r="E528" s="84"/>
      <c r="F528" s="50"/>
      <c r="G528" s="18"/>
      <c r="H528" s="18"/>
      <c r="I528" s="2595" t="s">
        <v>604</v>
      </c>
      <c r="J528" s="2596"/>
      <c r="K528" s="2596"/>
      <c r="L528" s="2597" t="s">
        <v>1086</v>
      </c>
      <c r="M528" s="2597"/>
      <c r="N528" s="2597"/>
      <c r="O528" s="2598"/>
      <c r="P528" s="2599" t="s">
        <v>603</v>
      </c>
      <c r="Q528" s="2600"/>
      <c r="R528" s="2601"/>
      <c r="S528" s="2590" t="s">
        <v>605</v>
      </c>
      <c r="T528" s="2591"/>
      <c r="U528" s="2592"/>
      <c r="V528" s="15"/>
      <c r="W528" s="817"/>
      <c r="X528" s="817"/>
      <c r="Y528" s="817"/>
      <c r="Z528" s="817"/>
      <c r="AA528" s="817"/>
      <c r="AB528" s="818"/>
      <c r="AD528" s="10"/>
      <c r="AE528" s="10"/>
      <c r="AF528" s="10"/>
      <c r="AG528" s="1386" t="s">
        <v>604</v>
      </c>
      <c r="AH528" s="1386" t="s">
        <v>603</v>
      </c>
      <c r="AI528" s="1386" t="s">
        <v>605</v>
      </c>
      <c r="AJ528" s="2589" t="s">
        <v>604</v>
      </c>
      <c r="AK528" s="2589"/>
      <c r="AL528" s="2589" t="s">
        <v>603</v>
      </c>
      <c r="AM528" s="2589"/>
      <c r="AN528" s="2589" t="s">
        <v>605</v>
      </c>
      <c r="AO528" s="2589"/>
    </row>
    <row r="529" spans="1:41" ht="34" x14ac:dyDescent="0.2">
      <c r="B529" s="1700"/>
      <c r="D529" s="79" t="s">
        <v>779</v>
      </c>
      <c r="E529" s="835" t="s">
        <v>778</v>
      </c>
      <c r="F529" s="26" t="s">
        <v>226</v>
      </c>
      <c r="G529" s="26" t="s">
        <v>22</v>
      </c>
      <c r="H529" s="26" t="s">
        <v>612</v>
      </c>
      <c r="I529" s="1348" t="s">
        <v>269</v>
      </c>
      <c r="J529" s="29" t="s">
        <v>270</v>
      </c>
      <c r="K529" s="29" t="s">
        <v>271</v>
      </c>
      <c r="L529" s="29" t="s">
        <v>363</v>
      </c>
      <c r="M529" s="29" t="s">
        <v>339</v>
      </c>
      <c r="N529" s="29" t="s">
        <v>340</v>
      </c>
      <c r="O529" s="1349" t="s">
        <v>341</v>
      </c>
      <c r="P529" s="1348" t="s">
        <v>269</v>
      </c>
      <c r="Q529" s="29" t="s">
        <v>270</v>
      </c>
      <c r="R529" s="1349" t="s">
        <v>271</v>
      </c>
      <c r="S529" s="1348" t="s">
        <v>269</v>
      </c>
      <c r="T529" s="29" t="s">
        <v>270</v>
      </c>
      <c r="U529" s="1349" t="s">
        <v>271</v>
      </c>
      <c r="V529" s="736"/>
      <c r="W529" s="827" t="s">
        <v>604</v>
      </c>
      <c r="X529" s="828" t="s">
        <v>754</v>
      </c>
      <c r="Y529" s="827" t="s">
        <v>603</v>
      </c>
      <c r="Z529" s="828" t="s">
        <v>755</v>
      </c>
      <c r="AA529" s="827" t="s">
        <v>605</v>
      </c>
      <c r="AB529" s="828" t="s">
        <v>756</v>
      </c>
      <c r="AD529" s="10"/>
      <c r="AE529" s="10"/>
      <c r="AF529" s="10"/>
      <c r="AG529" s="10"/>
      <c r="AH529" s="10"/>
      <c r="AI529" s="10"/>
      <c r="AJ529" s="1490" t="s">
        <v>1058</v>
      </c>
      <c r="AK529" s="1490" t="s">
        <v>1059</v>
      </c>
      <c r="AL529" s="1490" t="s">
        <v>1058</v>
      </c>
      <c r="AM529" s="1490" t="s">
        <v>1059</v>
      </c>
      <c r="AN529" s="1490" t="s">
        <v>1058</v>
      </c>
      <c r="AO529" s="1490" t="s">
        <v>1059</v>
      </c>
    </row>
    <row r="530" spans="1:41" ht="34" x14ac:dyDescent="0.2">
      <c r="A530" t="str">
        <f>IF(Test_Bible!B243="","F","O")</f>
        <v>O</v>
      </c>
      <c r="B530" s="1700" t="str">
        <f>'Cpts AR +indép + Sommaire'!G81</f>
        <v>Parentification</v>
      </c>
      <c r="C530" s="1999" t="str">
        <f>'Cpts AR +indép + Sommaire'!C81</f>
        <v>PFA31</v>
      </c>
      <c r="D530" s="2000" t="str">
        <f>'Cpts AR +indép + Sommaire'!D81</f>
        <v xml:space="preserve">Dans quelle mesure diriez-vous que l'autre parent accepte ou vit bien avec la séparation (de couple ou familiale) ? </v>
      </c>
      <c r="E530" s="78" t="s">
        <v>1040</v>
      </c>
      <c r="F530" s="709">
        <f>'Cpts AR +indép + Sommaire'!E81</f>
        <v>4</v>
      </c>
      <c r="G530" s="709">
        <f>'Cpts AR +indép + Sommaire'!F81</f>
        <v>2</v>
      </c>
      <c r="H530" s="709">
        <f>F530*G530</f>
        <v>8</v>
      </c>
      <c r="I530" s="1374">
        <v>11</v>
      </c>
      <c r="J530" s="1375">
        <v>11</v>
      </c>
      <c r="K530" s="31" t="b">
        <f>IF(AND(F530&gt;=I530,F530&lt;=J530),TRUE,FALSE)</f>
        <v>0</v>
      </c>
      <c r="L530" s="31"/>
      <c r="M530" s="31"/>
      <c r="N530" s="31"/>
      <c r="O530" s="1351"/>
      <c r="P530" s="1374">
        <v>11</v>
      </c>
      <c r="Q530" s="1375">
        <v>11</v>
      </c>
      <c r="R530" s="1351" t="b">
        <f>IF(AND(F530&gt;=P530,F530&lt;=Q530),TRUE,FALSE)</f>
        <v>0</v>
      </c>
      <c r="S530" s="1350">
        <v>4</v>
      </c>
      <c r="T530" s="1343">
        <v>10</v>
      </c>
      <c r="U530" s="1351" t="b">
        <f>IF(AND(F530&gt;=S530,F530&lt;=T530),TRUE,FALSE)</f>
        <v>1</v>
      </c>
      <c r="V530" s="807"/>
      <c r="W530" s="819"/>
      <c r="X530" s="820"/>
      <c r="Y530" s="819"/>
      <c r="Z530" s="820"/>
      <c r="AA530" s="819"/>
      <c r="AB530" s="820"/>
      <c r="AD530" s="10"/>
      <c r="AE530" s="10"/>
      <c r="AF530" s="10"/>
      <c r="AG530" s="832">
        <f>IF($K530=TRUE,H530,0)</f>
        <v>0</v>
      </c>
      <c r="AH530" s="832">
        <f>IF($R530=TRUE,H530,0)</f>
        <v>0</v>
      </c>
      <c r="AI530" s="832">
        <f>IF($U530=TRUE,H530,0)</f>
        <v>8</v>
      </c>
      <c r="AJ530" s="1490">
        <f t="shared" ref="AJ530:AJ531" si="1100">IF(OR(I530=11,A530="F"),0,G530*I530)</f>
        <v>0</v>
      </c>
      <c r="AK530" s="1490">
        <f t="shared" ref="AK530:AK531" si="1101">IF(OR(J530=11,A530="F"),0,G530*J530)</f>
        <v>0</v>
      </c>
      <c r="AL530" s="1490">
        <f t="shared" ref="AL530:AL531" si="1102">IF(OR(P530=11,A530="F"),0,G530*P530)</f>
        <v>0</v>
      </c>
      <c r="AM530" s="1490">
        <f t="shared" ref="AM530:AM531" si="1103">IF(OR(Q530=11,A530="F"),0,G530*Q530)</f>
        <v>0</v>
      </c>
      <c r="AN530" s="1490">
        <f t="shared" ref="AN530:AN531" si="1104">IF(OR(S530=11,A530="F"),0,S530*G530)</f>
        <v>8</v>
      </c>
      <c r="AO530" s="1490">
        <f t="shared" ref="AO530:AO531" si="1105">IF(OR(T530=11,A530="F"),0,T530*G530)</f>
        <v>20</v>
      </c>
    </row>
    <row r="531" spans="1:41" ht="34" x14ac:dyDescent="0.2">
      <c r="A531" t="str">
        <f>IF(Test_Bible!B244="","F","O")</f>
        <v>O</v>
      </c>
      <c r="B531" s="1700" t="str">
        <f>'Cpts AR +indép + Sommaire'!G82</f>
        <v>Parentification</v>
      </c>
      <c r="C531" s="21" t="str">
        <f>'Cpts AR +indép + Sommaire'!C82</f>
        <v>PFA31a</v>
      </c>
      <c r="D531" s="698" t="str">
        <f>'Cpts AR +indép + Sommaire'!D82</f>
        <v>L’autre parent confie à votre enfant sa peine concernant la séparation.</v>
      </c>
      <c r="E531" s="274"/>
      <c r="F531" s="709">
        <f>'Cpts AR +indép + Sommaire'!E82</f>
        <v>4</v>
      </c>
      <c r="G531" s="709">
        <f>'Cpts AR +indép + Sommaire'!F82</f>
        <v>2</v>
      </c>
      <c r="H531" s="709">
        <f>F531*G531</f>
        <v>8</v>
      </c>
      <c r="I531" s="1350">
        <v>7</v>
      </c>
      <c r="J531" s="1343">
        <v>10</v>
      </c>
      <c r="K531" s="31" t="b">
        <f>IF(AND(F531&gt;=I531,F531&lt;=J531),TRUE,FALSE)</f>
        <v>0</v>
      </c>
      <c r="L531" s="31"/>
      <c r="M531" s="31"/>
      <c r="N531" s="31"/>
      <c r="O531" s="1351"/>
      <c r="P531" s="1350">
        <v>2</v>
      </c>
      <c r="Q531" s="1343">
        <v>7</v>
      </c>
      <c r="R531" s="1351" t="b">
        <f>IF(AND(F531&gt;=P531,F531&lt;=Q531),TRUE,FALSE)</f>
        <v>1</v>
      </c>
      <c r="S531" s="1350">
        <v>4</v>
      </c>
      <c r="T531" s="1343">
        <v>7</v>
      </c>
      <c r="U531" s="1351" t="b">
        <f>IF(AND(F531&gt;=S531,F531&lt;=T531),TRUE,FALSE)</f>
        <v>1</v>
      </c>
      <c r="V531" s="807"/>
      <c r="W531" s="821"/>
      <c r="X531" s="822"/>
      <c r="Y531" s="821"/>
      <c r="Z531" s="822"/>
      <c r="AA531" s="821"/>
      <c r="AB531" s="822"/>
      <c r="AD531" s="10"/>
      <c r="AE531" s="10"/>
      <c r="AF531" s="10"/>
      <c r="AG531" s="832">
        <f>IF($K531=TRUE,H531,0)</f>
        <v>0</v>
      </c>
      <c r="AH531" s="832">
        <f>IF($R531=TRUE,H531,0)</f>
        <v>8</v>
      </c>
      <c r="AI531" s="832">
        <f>IF($U531=TRUE,H531,0)</f>
        <v>8</v>
      </c>
      <c r="AJ531" s="1490">
        <f t="shared" si="1100"/>
        <v>14</v>
      </c>
      <c r="AK531" s="1490">
        <f t="shared" si="1101"/>
        <v>20</v>
      </c>
      <c r="AL531" s="1490">
        <f t="shared" si="1102"/>
        <v>4</v>
      </c>
      <c r="AM531" s="1490">
        <f t="shared" si="1103"/>
        <v>14</v>
      </c>
      <c r="AN531" s="1490">
        <f t="shared" si="1104"/>
        <v>8</v>
      </c>
      <c r="AO531" s="1490">
        <f t="shared" si="1105"/>
        <v>14</v>
      </c>
    </row>
    <row r="532" spans="1:41" ht="34" x14ac:dyDescent="0.2">
      <c r="B532" s="1700"/>
      <c r="C532" s="710" t="s">
        <v>609</v>
      </c>
      <c r="D532" s="711" t="str">
        <f>_xlfn.XLOOKUP(H532,H530:H531,D530:D531)</f>
        <v xml:space="preserve">Dans quelle mesure diriez-vous que l'autre parent accepte ou vit bien avec la séparation (de couple ou familiale) ? </v>
      </c>
      <c r="E532" s="712" t="str">
        <f>_xlfn.XLOOKUP(H532,H530:H531,E530:E531)</f>
        <v>ne permet pas les objets de l'autre parent chez lui</v>
      </c>
      <c r="F532" s="713"/>
      <c r="G532" s="713"/>
      <c r="H532" s="713">
        <f>IF(AND(K530=TRUE,K531=FALSE),H530,IF(AND(K530=FALSE,K531=TRUE),H531,MAX(H530,H531)))</f>
        <v>8</v>
      </c>
      <c r="I532" s="1352"/>
      <c r="J532" s="714"/>
      <c r="K532" s="715" t="b">
        <f>IF(AND(K530=FALSE,K531=FALSE),FALSE,TRUE)</f>
        <v>0</v>
      </c>
      <c r="L532" s="31"/>
      <c r="M532" s="31"/>
      <c r="N532" s="31"/>
      <c r="O532" s="1351"/>
      <c r="P532" s="1352"/>
      <c r="Q532" s="714"/>
      <c r="R532" s="1365" t="b">
        <f>IF(AND(R530=FALSE,R531=FALSE),FALSE,TRUE)</f>
        <v>1</v>
      </c>
      <c r="S532" s="1352"/>
      <c r="T532" s="714"/>
      <c r="U532" s="1365" t="b">
        <f>IF(AND(U530=FALSE,U531=FALSE),FALSE,TRUE)</f>
        <v>1</v>
      </c>
      <c r="V532" s="807"/>
      <c r="W532" s="821"/>
      <c r="X532" s="822"/>
      <c r="Y532" s="821"/>
      <c r="Z532" s="822"/>
      <c r="AA532" s="821"/>
      <c r="AB532" s="822"/>
      <c r="AD532" s="10"/>
      <c r="AE532" s="10"/>
      <c r="AF532" s="10"/>
      <c r="AG532" s="1740">
        <f>IF($K532=TRUE,MAX(AG530:AG531),0)</f>
        <v>0</v>
      </c>
      <c r="AH532" s="1740">
        <f>IF($R532=TRUE,MAX(AH530:AH531),0)</f>
        <v>8</v>
      </c>
      <c r="AI532" s="1740">
        <f>IF($U532=TRUE,MAX(AI530:AI531),0)</f>
        <v>8</v>
      </c>
      <c r="AJ532" s="1739">
        <f>MAX(AJ530:AJ531)</f>
        <v>14</v>
      </c>
      <c r="AK532" s="1739">
        <f t="shared" ref="AK532" si="1106">MAX(AK530:AK531)</f>
        <v>20</v>
      </c>
      <c r="AL532" s="1739">
        <f t="shared" ref="AL532" si="1107">MAX(AL530:AL531)</f>
        <v>4</v>
      </c>
      <c r="AM532" s="1739">
        <f t="shared" ref="AM532" si="1108">MAX(AM530:AM531)</f>
        <v>14</v>
      </c>
      <c r="AN532" s="1739">
        <f t="shared" ref="AN532" si="1109">MAX(AN530:AN531)</f>
        <v>8</v>
      </c>
      <c r="AO532" s="1739">
        <f t="shared" ref="AO532" si="1110">MAX(AO530:AO531)</f>
        <v>20</v>
      </c>
    </row>
    <row r="533" spans="1:41" ht="34" x14ac:dyDescent="0.2">
      <c r="A533" t="str">
        <f>IF(Test_Bible!B404="","F","O")</f>
        <v>F</v>
      </c>
      <c r="B533" s="1700" t="str">
        <f>'Cpts AR +indép + Sommaire'!M81</f>
        <v>A:Alliance</v>
      </c>
      <c r="C533" s="38" t="str">
        <f>'Cpts AR +indép + Sommaire'!I81</f>
        <v>NC01</v>
      </c>
      <c r="D533" s="25" t="str">
        <f>'Cpts AR +indép + Sommaire'!J81</f>
        <v>Le nouveau ou nouvelle conjoint·e joue un rôle de confident·e auprès de votre enfant.</v>
      </c>
      <c r="E533" s="78"/>
      <c r="F533" s="709">
        <f>'Cpts AR +indép + Sommaire'!K81</f>
        <v>0</v>
      </c>
      <c r="G533" s="709">
        <f>'Cpts AR +indép + Sommaire'!L81</f>
        <v>0</v>
      </c>
      <c r="H533" s="709">
        <f>F533*G533</f>
        <v>0</v>
      </c>
      <c r="I533" s="1374">
        <v>11</v>
      </c>
      <c r="J533" s="1375">
        <v>11</v>
      </c>
      <c r="K533" s="31" t="b">
        <f>IF(AND(F533&gt;=I533,F533&lt;=J533),TRUE,FALSE)</f>
        <v>0</v>
      </c>
      <c r="L533" s="31"/>
      <c r="M533" s="31"/>
      <c r="N533" s="31"/>
      <c r="O533" s="1351"/>
      <c r="P533" s="1374">
        <v>11</v>
      </c>
      <c r="Q533" s="1375">
        <v>11</v>
      </c>
      <c r="R533" s="1351" t="b">
        <f>IF(AND(F533&gt;=P533,F533&lt;=Q533),TRUE,FALSE)</f>
        <v>0</v>
      </c>
      <c r="S533" s="1374">
        <v>11</v>
      </c>
      <c r="T533" s="1375">
        <v>11</v>
      </c>
      <c r="U533" s="1351" t="b">
        <f>IF(AND(F533&gt;=S533,F533&lt;=T533),TRUE,FALSE)</f>
        <v>0</v>
      </c>
      <c r="V533" s="807"/>
      <c r="W533" s="821"/>
      <c r="X533" s="822"/>
      <c r="Y533" s="821"/>
      <c r="Z533" s="822"/>
      <c r="AA533" s="821"/>
      <c r="AB533" s="822"/>
      <c r="AD533" s="10"/>
      <c r="AE533" s="10"/>
      <c r="AF533" s="10"/>
      <c r="AG533" s="832">
        <f>IF(K533=TRUE,H533,0)</f>
        <v>0</v>
      </c>
      <c r="AH533" s="832">
        <f>IF(R533=TRUE,H533,0)</f>
        <v>0</v>
      </c>
      <c r="AI533" s="832">
        <f>IF(U533=TRUE,H533,0)</f>
        <v>0</v>
      </c>
      <c r="AJ533" s="1490">
        <f t="shared" ref="AJ533:AJ534" si="1111">IF(OR(I533=11,A533="F"),0,G533*I533)</f>
        <v>0</v>
      </c>
      <c r="AK533" s="1490">
        <f t="shared" ref="AK533:AK534" si="1112">IF(OR(J533=11,A533="F"),0,G533*J533)</f>
        <v>0</v>
      </c>
      <c r="AL533" s="1490">
        <f t="shared" ref="AL533:AL534" si="1113">IF(OR(P533=11,A533="F"),0,G533*P533)</f>
        <v>0</v>
      </c>
      <c r="AM533" s="1490">
        <f t="shared" ref="AM533:AM534" si="1114">IF(OR(Q533=11,A533="F"),0,G533*Q533)</f>
        <v>0</v>
      </c>
      <c r="AN533" s="1490">
        <f t="shared" ref="AN533:AN534" si="1115">IF(OR(S533=11,A533="F"),0,S533*G533)</f>
        <v>0</v>
      </c>
      <c r="AO533" s="1490">
        <f t="shared" ref="AO533:AO534" si="1116">IF(OR(T533=11,A533="F"),0,T533*G533)</f>
        <v>0</v>
      </c>
    </row>
    <row r="534" spans="1:41" ht="34" x14ac:dyDescent="0.2">
      <c r="A534" t="str">
        <f>IF(Test_Bible!B405="","F","O")</f>
        <v>F</v>
      </c>
      <c r="B534" s="1700" t="str">
        <f>'Cpts AR +indép + Sommaire'!M82</f>
        <v>A:Alliance</v>
      </c>
      <c r="C534" s="38" t="str">
        <f>'Cpts AR +indép + Sommaire'!I82</f>
        <v>NC01a</v>
      </c>
      <c r="D534" s="25" t="str">
        <f>'Cpts AR +indép + Sommaire'!J82</f>
        <v>Dans quelle mesure cette relation de confident·e vous apparaît être saine ?</v>
      </c>
      <c r="E534" s="48"/>
      <c r="F534" s="709">
        <f>'Cpts AR +indép + Sommaire'!K82</f>
        <v>0</v>
      </c>
      <c r="G534" s="709">
        <f>'Cpts AR +indép + Sommaire'!L82</f>
        <v>2</v>
      </c>
      <c r="H534" s="27">
        <f>F534*G534</f>
        <v>0</v>
      </c>
      <c r="I534" s="1350">
        <v>7</v>
      </c>
      <c r="J534" s="1343">
        <v>10</v>
      </c>
      <c r="K534" s="31" t="b">
        <f>IF(AND(F534&gt;=I534,F534&lt;=J534),TRUE,FALSE)</f>
        <v>0</v>
      </c>
      <c r="L534" s="31"/>
      <c r="M534" s="31"/>
      <c r="N534" s="31"/>
      <c r="O534" s="1351"/>
      <c r="P534" s="1350">
        <v>2</v>
      </c>
      <c r="Q534" s="1343">
        <v>7</v>
      </c>
      <c r="R534" s="1351" t="b">
        <f>IF(AND(F534&gt;=P534,F534&lt;=Q534),TRUE,FALSE)</f>
        <v>0</v>
      </c>
      <c r="S534" s="1374">
        <v>11</v>
      </c>
      <c r="T534" s="1375">
        <v>11</v>
      </c>
      <c r="U534" s="1351" t="b">
        <f>IF(AND(F534&gt;=S534,F534&lt;=T534),TRUE,FALSE)</f>
        <v>0</v>
      </c>
      <c r="V534" s="807"/>
      <c r="W534" s="821"/>
      <c r="X534" s="822"/>
      <c r="Y534" s="821"/>
      <c r="Z534" s="822"/>
      <c r="AA534" s="821"/>
      <c r="AB534" s="822"/>
      <c r="AD534" s="10"/>
      <c r="AE534" s="10"/>
      <c r="AF534" s="10"/>
      <c r="AG534" s="832">
        <f>IF(K534=TRUE,H534,0)</f>
        <v>0</v>
      </c>
      <c r="AH534" s="832">
        <f>IF(R534=TRUE,H534,0)</f>
        <v>0</v>
      </c>
      <c r="AI534" s="832">
        <f>IF(U534=TRUE,H534,0)</f>
        <v>0</v>
      </c>
      <c r="AJ534" s="1490">
        <f t="shared" si="1111"/>
        <v>0</v>
      </c>
      <c r="AK534" s="1490">
        <f t="shared" si="1112"/>
        <v>0</v>
      </c>
      <c r="AL534" s="1490">
        <f t="shared" si="1113"/>
        <v>0</v>
      </c>
      <c r="AM534" s="1490">
        <f t="shared" si="1114"/>
        <v>0</v>
      </c>
      <c r="AN534" s="1490">
        <f t="shared" si="1115"/>
        <v>0</v>
      </c>
      <c r="AO534" s="1490">
        <f t="shared" si="1116"/>
        <v>0</v>
      </c>
    </row>
    <row r="535" spans="1:41" ht="35" thickBot="1" x14ac:dyDescent="0.25">
      <c r="B535" s="1700"/>
      <c r="C535" s="716" t="s">
        <v>610</v>
      </c>
      <c r="D535" s="717" t="str">
        <f>_xlfn.XLOOKUP(H535,H533:H534,D533:D534)</f>
        <v>Le nouveau ou nouvelle conjoint·e joue un rôle de confident·e auprès de votre enfant.</v>
      </c>
      <c r="E535" s="718">
        <f>_xlfn.XLOOKUP(H535,H533:H534,E533:E534)</f>
        <v>0</v>
      </c>
      <c r="F535" s="719"/>
      <c r="G535" s="719"/>
      <c r="H535" s="713">
        <f>IF(AND(K533=TRUE,K534=FALSE),H533,IF(AND(K533=FALSE,K534=TRUE),H534,MAX(H533,H534)))</f>
        <v>0</v>
      </c>
      <c r="I535" s="1353"/>
      <c r="J535" s="720"/>
      <c r="K535" s="721" t="b">
        <f>IF(AND(K533=FALSE,K534=FALSE),FALSE,TRUE)</f>
        <v>0</v>
      </c>
      <c r="L535" s="31"/>
      <c r="M535" s="31"/>
      <c r="N535" s="31"/>
      <c r="O535" s="1351"/>
      <c r="P535" s="1353"/>
      <c r="Q535" s="720"/>
      <c r="R535" s="1366" t="b">
        <f>IF(AND(R533=FALSE,R534=FALSE),FALSE,TRUE)</f>
        <v>0</v>
      </c>
      <c r="S535" s="1353"/>
      <c r="T535" s="720"/>
      <c r="U535" s="1366" t="b">
        <f>IF(AND(U533=FALSE,U534=FALSE),FALSE,TRUE)</f>
        <v>0</v>
      </c>
      <c r="V535" s="807"/>
      <c r="W535" s="821"/>
      <c r="X535" s="822"/>
      <c r="Y535" s="821"/>
      <c r="Z535" s="822"/>
      <c r="AA535" s="821"/>
      <c r="AB535" s="822"/>
      <c r="AD535" s="10"/>
      <c r="AE535" s="10"/>
      <c r="AF535" s="10"/>
      <c r="AG535" s="1740">
        <f>IF($K535=TRUE,MAX(AG533:AG534),0)</f>
        <v>0</v>
      </c>
      <c r="AH535" s="1740">
        <f>IF($R535=TRUE,MAX(AH533:AH534),0)</f>
        <v>0</v>
      </c>
      <c r="AI535" s="1740">
        <f>IF($U535=TRUE,MAX(AI533:AI534),0)</f>
        <v>0</v>
      </c>
      <c r="AJ535" s="1739">
        <f>MAX(AJ533:AJ534)</f>
        <v>0</v>
      </c>
      <c r="AK535" s="1739">
        <f t="shared" ref="AK535" si="1117">MAX(AK533:AK534)</f>
        <v>0</v>
      </c>
      <c r="AL535" s="1739">
        <f t="shared" ref="AL535" si="1118">MAX(AL533:AL534)</f>
        <v>0</v>
      </c>
      <c r="AM535" s="1739">
        <f t="shared" ref="AM535" si="1119">MAX(AM533:AM534)</f>
        <v>0</v>
      </c>
      <c r="AN535" s="1739">
        <f t="shared" ref="AN535" si="1120">MAX(AN533:AN534)</f>
        <v>0</v>
      </c>
      <c r="AO535" s="1739">
        <f t="shared" ref="AO535" si="1121">MAX(AO533:AO534)</f>
        <v>0</v>
      </c>
    </row>
    <row r="536" spans="1:41" ht="35" thickBot="1" x14ac:dyDescent="0.25">
      <c r="B536" s="1700"/>
      <c r="C536" s="722" t="s">
        <v>616</v>
      </c>
      <c r="D536" s="723"/>
      <c r="E536" s="723" t="str">
        <f>IF(H536=H532,E532,E535)</f>
        <v>ne permet pas les objets de l'autre parent chez lui</v>
      </c>
      <c r="F536" s="724"/>
      <c r="G536" s="724"/>
      <c r="H536" s="724">
        <f>IF(AND(K532=TRUE,K535=FALSE),H532,IF(AND(K532=FALSE,K535=TRUE),H535,IF(AND(K532=TRUE,K535=TRUE),H532+H535,MAX(H532,H535))))</f>
        <v>8</v>
      </c>
      <c r="I536" s="1354"/>
      <c r="J536" s="725"/>
      <c r="K536" s="726" t="b">
        <f>IF(AND(K532=FALSE,K535=FALSE),FALSE,TRUE)</f>
        <v>0</v>
      </c>
      <c r="L536" s="1338"/>
      <c r="M536" s="1338"/>
      <c r="N536" s="1338"/>
      <c r="O536" s="1355"/>
      <c r="P536" s="1354"/>
      <c r="Q536" s="725"/>
      <c r="R536" s="726" t="b">
        <f>IF(AND(R532=FALSE,R535=FALSE),FALSE,TRUE)</f>
        <v>1</v>
      </c>
      <c r="S536" s="1354"/>
      <c r="T536" s="725"/>
      <c r="U536" s="726" t="b">
        <f>IF(AND(U532=FALSE,U535=FALSE),FALSE,TRUE)</f>
        <v>1</v>
      </c>
      <c r="V536" s="807"/>
      <c r="W536" s="821" t="str">
        <f>IF(K536=TRUE,"V","F")</f>
        <v>F</v>
      </c>
      <c r="X536" s="822"/>
      <c r="Y536" s="821" t="str">
        <f>IF(R536=TRUE,"V","F")</f>
        <v>V</v>
      </c>
      <c r="Z536" s="822"/>
      <c r="AA536" s="821" t="str">
        <f>IF(U536=TRUE,"V","F")</f>
        <v>V</v>
      </c>
      <c r="AB536" s="822"/>
      <c r="AC536" t="str">
        <f>IF(OR(W536="V",Y536="V"),IF(H535&gt;H532,"Le NC contribue plus que le coparent","Le coparent joue un plus grand rôle que le NC"),"pas de contexte significatif de la part du coparent et NC")</f>
        <v>Le coparent joue un plus grand rôle que le NC</v>
      </c>
      <c r="AD536" s="10"/>
      <c r="AE536" s="10"/>
      <c r="AF536" s="10"/>
      <c r="AG536" s="591">
        <f>IF(AND($K532=TRUE,$K535=FALSE),AG532,IF(AND($K532=FALSE,$K535=TRUE),AG535,IF(AND($K532=TRUE,$K535=TRUE),AG532+AG535,0)))</f>
        <v>0</v>
      </c>
      <c r="AH536" s="591">
        <f>IF(AND($R532=TRUE,$R535=FALSE),AH532,IF(AND($R532=FALSE,$R535=TRUE),AH535,IF(AND($R532=TRUE,$R535=TRUE),AH532+AH535,0)))</f>
        <v>8</v>
      </c>
      <c r="AI536" s="591">
        <f>IF(AND($U532=TRUE,$U535=FALSE),AI532,IF(AND($U532=FALSE,$U535=TRUE),AI535,IF(AND($U532=TRUE,$U535=TRUE),AI532+AI535,0)))</f>
        <v>8</v>
      </c>
      <c r="AJ536" s="591">
        <f>IF(AND($K532=TRUE,$K535=FALSE),AJ532,IF(AND($K532=FALSE,$K535=TRUE),AJ535,IF(AND($K532=TRUE,$K535=TRUE),AJ532+AJ535,MAX(AJ532,AJ535))))</f>
        <v>14</v>
      </c>
      <c r="AK536" s="591">
        <f>IF(AND($K532=TRUE,$K535=FALSE),AK532,IF(AND($K532=FALSE,$K535=TRUE),AK535,IF(AND($K532=TRUE,$K535=TRUE),AK532+AK535,MAX(AK532,AK535))))</f>
        <v>20</v>
      </c>
      <c r="AL536" s="591">
        <f t="shared" ref="AL536" si="1122">IF(AND($R532=TRUE,$R535=FALSE),AL532,IF(AND($R532=FALSE,$R535=TRUE),AL535,IF(AND($R532=TRUE,$R535=TRUE),AL532+AL535,MAX(AL532,AL535))))</f>
        <v>4</v>
      </c>
      <c r="AM536" s="591">
        <f t="shared" ref="AM536" si="1123">IF(AND($R532=TRUE,$R535=FALSE),AM532,IF(AND($R532=FALSE,$R535=TRUE),AM535,IF(AND($R532=TRUE,$R535=TRUE),AM532+AM535,MAX(AM532,AM535))))</f>
        <v>14</v>
      </c>
      <c r="AN536" s="591">
        <f t="shared" ref="AN536" si="1124">IF(AND($U532=TRUE,$U535=FALSE),AN532,IF(AND($U532=FALSE,$U535=TRUE),AN535,IF(AND($U532=TRUE,$U535=TRUE),AN532+AN535,MAX(AN532,AN535))))</f>
        <v>8</v>
      </c>
      <c r="AO536" s="591">
        <f t="shared" ref="AO536" si="1125">IF(AND($U532=TRUE,$U535=FALSE),AO532,IF(AND($U532=FALSE,$U535=TRUE),AO535,IF(AND($U532=TRUE,$U535=TRUE),AO532+AO535,MAX(AO532,AO535))))</f>
        <v>20</v>
      </c>
    </row>
    <row r="537" spans="1:41" ht="34" x14ac:dyDescent="0.2">
      <c r="A537" t="str">
        <f>IF(Test_Bible!B282="","F","O")</f>
        <v>O</v>
      </c>
      <c r="B537" s="1700" t="str">
        <f>'Cpts AR +indép + Sommaire'!S81</f>
        <v>Chantage affectif, manipulation</v>
      </c>
      <c r="C537" s="287" t="str">
        <f>'Cpts AR +indép + Sommaire'!O81</f>
        <v>E09</v>
      </c>
      <c r="D537" s="25" t="str">
        <f>'Cpts AR +indép + Sommaire'!P81</f>
        <v xml:space="preserve">Dans quelle mesure diriez-vous que votre enfant vous tient responsable de la peine ou de la frustration de son autre parent ? </v>
      </c>
      <c r="E537" s="78" t="s">
        <v>1039</v>
      </c>
      <c r="F537" s="709">
        <f>'Cpts AR +indép + Sommaire'!Q81</f>
        <v>2</v>
      </c>
      <c r="G537" s="709">
        <f>'Cpts AR +indép + Sommaire'!R81</f>
        <v>1</v>
      </c>
      <c r="H537" s="709">
        <f>F537*G537</f>
        <v>2</v>
      </c>
      <c r="I537" s="1350">
        <v>7</v>
      </c>
      <c r="J537" s="1343">
        <v>10</v>
      </c>
      <c r="K537" s="31" t="b">
        <f>IF(AND(F537&gt;=I537,F537&lt;=J537),TRUE,FALSE)</f>
        <v>0</v>
      </c>
      <c r="L537" s="31"/>
      <c r="M537" s="31"/>
      <c r="N537" s="31"/>
      <c r="O537" s="1351"/>
      <c r="P537" s="1350">
        <v>2</v>
      </c>
      <c r="Q537" s="1343">
        <v>7</v>
      </c>
      <c r="R537" s="1351" t="b">
        <f>IF(AND(F537&gt;=P537,F537&lt;=Q537),TRUE,FALSE)</f>
        <v>1</v>
      </c>
      <c r="S537" s="1350"/>
      <c r="T537" s="1343"/>
      <c r="U537" s="1351"/>
      <c r="V537" s="1327"/>
      <c r="W537" s="821" t="s">
        <v>753</v>
      </c>
      <c r="X537" s="822"/>
      <c r="Y537" s="821"/>
      <c r="Z537" s="822"/>
      <c r="AA537" s="821"/>
      <c r="AB537" s="822"/>
      <c r="AD537" s="10"/>
      <c r="AE537" s="10"/>
      <c r="AF537" s="10"/>
      <c r="AG537" s="832">
        <f>IF($K537=TRUE,H537,0)</f>
        <v>0</v>
      </c>
      <c r="AH537" s="832">
        <f>IF($R537=TRUE,H537,0)</f>
        <v>2</v>
      </c>
      <c r="AI537" s="832"/>
      <c r="AJ537" s="1490">
        <f t="shared" ref="AJ537:AJ539" si="1126">IF(OR(I537=11,A537="F"),0,G537*I537)</f>
        <v>7</v>
      </c>
      <c r="AK537" s="1490">
        <f t="shared" ref="AK537:AK539" si="1127">IF(OR(J537=11,A537="F"),0,G537*J537)</f>
        <v>10</v>
      </c>
      <c r="AL537" s="1490">
        <f t="shared" ref="AL537:AL539" si="1128">IF(OR(P537=11,A537="F"),0,G537*P537)</f>
        <v>2</v>
      </c>
      <c r="AM537" s="1490">
        <f t="shared" ref="AM537:AM539" si="1129">IF(OR(Q537=11,A537="F"),0,G537*Q537)</f>
        <v>7</v>
      </c>
      <c r="AN537" s="1490">
        <f t="shared" ref="AN537:AN539" si="1130">IF(OR(S537=11,A537="F"),0,S537*G537)</f>
        <v>0</v>
      </c>
      <c r="AO537" s="1490">
        <f t="shared" ref="AO537:AO539" si="1131">IF(OR(T537=11,A537="F"),0,T537*G537)</f>
        <v>0</v>
      </c>
    </row>
    <row r="538" spans="1:41" ht="34" x14ac:dyDescent="0.2">
      <c r="A538" t="str">
        <f>IF(Test_Bible!B307="","F","O")</f>
        <v>O</v>
      </c>
      <c r="B538" s="1700" t="str">
        <f>'Cpts AR +indép + Sommaire'!S82</f>
        <v>Parentification</v>
      </c>
      <c r="C538" s="287" t="str">
        <f>'Cpts AR +indép + Sommaire'!O82</f>
        <v>E23</v>
      </c>
      <c r="D538" s="25" t="str">
        <f>'Cpts AR +indép + Sommaire'!P82</f>
        <v>Votre enfant se sent responsable du bonheur de l’autre parent ou sent le besoin de le protéger.</v>
      </c>
      <c r="E538" s="78" t="s">
        <v>1835</v>
      </c>
      <c r="F538" s="709">
        <f>'Cpts AR +indép + Sommaire'!Q82</f>
        <v>1</v>
      </c>
      <c r="G538" s="709">
        <f>'Cpts AR +indép + Sommaire'!R82</f>
        <v>1</v>
      </c>
      <c r="H538" s="709">
        <f>F538*G538</f>
        <v>1</v>
      </c>
      <c r="I538" s="1374">
        <v>11</v>
      </c>
      <c r="J538" s="1375">
        <v>11</v>
      </c>
      <c r="K538" s="31" t="b">
        <f t="shared" ref="K538:K539" si="1132">IF(AND(F538&gt;=I538,F538&lt;=J538),TRUE,FALSE)</f>
        <v>0</v>
      </c>
      <c r="L538" s="31"/>
      <c r="M538" s="31"/>
      <c r="N538" s="31"/>
      <c r="O538" s="1351"/>
      <c r="P538" s="1350">
        <v>2</v>
      </c>
      <c r="Q538" s="1343">
        <v>10</v>
      </c>
      <c r="R538" s="1351" t="b">
        <f t="shared" ref="R538:R539" si="1133">IF(AND(F538&gt;=P538,F538&lt;=Q538),TRUE,FALSE)</f>
        <v>0</v>
      </c>
      <c r="S538" s="1350"/>
      <c r="T538" s="1343"/>
      <c r="U538" s="1351"/>
      <c r="V538" s="1327"/>
      <c r="W538" s="821"/>
      <c r="X538" s="822"/>
      <c r="Y538" s="821"/>
      <c r="Z538" s="822"/>
      <c r="AA538" s="821"/>
      <c r="AB538" s="822"/>
      <c r="AD538" s="10"/>
      <c r="AE538" s="10"/>
      <c r="AF538" s="10"/>
      <c r="AG538" s="832">
        <f>IF($K538=TRUE,H538,0)</f>
        <v>0</v>
      </c>
      <c r="AH538" s="832">
        <f>IF($R538=TRUE,H538,0)</f>
        <v>0</v>
      </c>
      <c r="AI538" s="832"/>
      <c r="AJ538" s="1490">
        <f t="shared" si="1126"/>
        <v>0</v>
      </c>
      <c r="AK538" s="1490">
        <f t="shared" si="1127"/>
        <v>0</v>
      </c>
      <c r="AL538" s="1490">
        <f t="shared" si="1128"/>
        <v>2</v>
      </c>
      <c r="AM538" s="1490">
        <f t="shared" si="1129"/>
        <v>10</v>
      </c>
      <c r="AN538" s="1490">
        <f t="shared" si="1130"/>
        <v>0</v>
      </c>
      <c r="AO538" s="1490">
        <f t="shared" si="1131"/>
        <v>0</v>
      </c>
    </row>
    <row r="539" spans="1:41" ht="35" thickBot="1" x14ac:dyDescent="0.25">
      <c r="A539" t="str">
        <f>IF(Test_Bible!B309="","F","O")</f>
        <v>O</v>
      </c>
      <c r="B539" s="1700" t="str">
        <f>'Cpts AR +indép + Sommaire'!S83</f>
        <v>Parentification</v>
      </c>
      <c r="C539" s="287" t="str">
        <f>'Cpts AR +indép + Sommaire'!O83</f>
        <v>E25</v>
      </c>
      <c r="D539" s="25" t="str">
        <f>'Cpts AR +indép + Sommaire'!P83</f>
        <v>Dans quelle mesure diriez-vous que votre enfant sent le besoin de protéger l’autre parent ou de défendre ses intérêts ?</v>
      </c>
      <c r="E539" s="78" t="s">
        <v>1836</v>
      </c>
      <c r="F539" s="709">
        <f>'Cpts AR +indép + Sommaire'!Q83</f>
        <v>7</v>
      </c>
      <c r="G539" s="709">
        <f>'Cpts AR +indép + Sommaire'!R83</f>
        <v>2</v>
      </c>
      <c r="H539" s="709">
        <f>F539*G539</f>
        <v>14</v>
      </c>
      <c r="I539" s="1350">
        <v>7</v>
      </c>
      <c r="J539" s="1343">
        <v>10</v>
      </c>
      <c r="K539" s="31" t="b">
        <f t="shared" si="1132"/>
        <v>1</v>
      </c>
      <c r="L539" s="31"/>
      <c r="M539" s="31"/>
      <c r="N539" s="31"/>
      <c r="O539" s="1351"/>
      <c r="P539" s="1350">
        <v>2</v>
      </c>
      <c r="Q539" s="1343">
        <v>7</v>
      </c>
      <c r="R539" s="1351" t="b">
        <f t="shared" si="1133"/>
        <v>1</v>
      </c>
      <c r="S539" s="1374"/>
      <c r="T539" s="1375"/>
      <c r="U539" s="1351"/>
      <c r="V539" s="807"/>
      <c r="W539" s="821"/>
      <c r="X539" s="822"/>
      <c r="Y539" s="821"/>
      <c r="Z539" s="822"/>
      <c r="AA539" s="821"/>
      <c r="AB539" s="822"/>
      <c r="AD539" s="10"/>
      <c r="AE539" s="10"/>
      <c r="AF539" s="10"/>
      <c r="AG539" s="832">
        <f>IF($K539=TRUE,H539,0)</f>
        <v>14</v>
      </c>
      <c r="AH539" s="832">
        <f>IF($R539=TRUE,H539,0)</f>
        <v>14</v>
      </c>
      <c r="AI539" s="832"/>
      <c r="AJ539" s="1490">
        <f t="shared" si="1126"/>
        <v>14</v>
      </c>
      <c r="AK539" s="1490">
        <f t="shared" si="1127"/>
        <v>20</v>
      </c>
      <c r="AL539" s="1490">
        <f t="shared" si="1128"/>
        <v>4</v>
      </c>
      <c r="AM539" s="1490">
        <f t="shared" si="1129"/>
        <v>14</v>
      </c>
      <c r="AN539" s="1490">
        <f t="shared" si="1130"/>
        <v>0</v>
      </c>
      <c r="AO539" s="1490">
        <f t="shared" si="1131"/>
        <v>0</v>
      </c>
    </row>
    <row r="540" spans="1:41" ht="35" thickBot="1" x14ac:dyDescent="0.25">
      <c r="B540" s="1700"/>
      <c r="C540" s="727" t="s">
        <v>611</v>
      </c>
      <c r="D540" s="728" t="str">
        <f>_xlfn.XLOOKUP(H540,H537:H539,D537:D539)</f>
        <v>Dans quelle mesure diriez-vous que votre enfant sent le besoin de protéger l’autre parent ou de défendre ses intérêts ?</v>
      </c>
      <c r="E540" s="728" t="str">
        <f>_xlfn.XLOOKUP(H540,H537:H539,E537:E539)</f>
        <v>Sent le besoin de protéger le parent favorisé</v>
      </c>
      <c r="F540" s="729"/>
      <c r="G540" s="729"/>
      <c r="H540" s="729">
        <f>IF(AND(K537=TRUE,K538=FALSE,K539=FALSE),H537,IF(AND(K537=FALSE,K538=TRUE,K539=FALSE),H538,IF(AND(K537=FALSE,K538=FALSE,K539=TRUE),H539,MAX(H537:H539))))</f>
        <v>14</v>
      </c>
      <c r="I540" s="1356"/>
      <c r="J540" s="730"/>
      <c r="K540" s="731" t="b">
        <f>IF(AND(K537=FALSE,K538=FALSE,K539=FALSE),FALSE,TRUE)</f>
        <v>1</v>
      </c>
      <c r="L540" s="1339"/>
      <c r="M540" s="1339"/>
      <c r="N540" s="1339"/>
      <c r="O540" s="1357"/>
      <c r="P540" s="1356"/>
      <c r="Q540" s="730"/>
      <c r="R540" s="731" t="b">
        <f>IF(AND(R537=FALSE,R538=FALSE,R539=FALSE),FALSE,TRUE)</f>
        <v>1</v>
      </c>
      <c r="S540" s="1356"/>
      <c r="T540" s="730"/>
      <c r="U540" s="731"/>
      <c r="V540" s="807"/>
      <c r="W540" s="821" t="str">
        <f>IF(K540=TRUE,"V","F")</f>
        <v>V</v>
      </c>
      <c r="X540" s="822"/>
      <c r="Y540" s="821" t="str">
        <f>IF(R540=TRUE,"V","F")</f>
        <v>V</v>
      </c>
      <c r="Z540" s="822"/>
      <c r="AA540" s="821"/>
      <c r="AB540" s="822"/>
      <c r="AD540" s="10"/>
      <c r="AE540" s="10"/>
      <c r="AF540" s="10"/>
      <c r="AG540" s="1742">
        <f>IF($K540=TRUE,MAX(AG537:AG539),0)</f>
        <v>14</v>
      </c>
      <c r="AH540" s="1742">
        <f>IF($R540=TRUE,MAX(AH537:AH539),0)</f>
        <v>14</v>
      </c>
      <c r="AI540" s="1742">
        <f>IF($U540=TRUE,MAX(AI537:AI539),0)</f>
        <v>0</v>
      </c>
      <c r="AJ540" s="1742">
        <f>MAX(AJ537:AJ539)</f>
        <v>14</v>
      </c>
      <c r="AK540" s="1742">
        <f>MAX(AK537:AK539)</f>
        <v>20</v>
      </c>
      <c r="AL540" s="1742">
        <f t="shared" ref="AL540:AO540" si="1134">MAX(AL537:AL539)</f>
        <v>4</v>
      </c>
      <c r="AM540" s="1742">
        <f t="shared" si="1134"/>
        <v>14</v>
      </c>
      <c r="AN540" s="1742">
        <f>MAX(AN537:AN539)</f>
        <v>0</v>
      </c>
      <c r="AO540" s="1742">
        <f t="shared" si="1134"/>
        <v>0</v>
      </c>
    </row>
    <row r="541" spans="1:41" ht="68" x14ac:dyDescent="0.2">
      <c r="B541" s="1700"/>
      <c r="D541" s="386" t="s">
        <v>273</v>
      </c>
      <c r="E541" s="705"/>
      <c r="F541" s="439" t="s">
        <v>349</v>
      </c>
      <c r="G541" s="33"/>
      <c r="H541" s="33">
        <f>IF(AND(K536=TRUE,K540=FALSE),H536,IF(AND(K536=FALSE,K540=TRUE),H540,IF(AND(K536=TRUE,K540=TRUE),H536+H540,MAX(H536,H540))))</f>
        <v>14</v>
      </c>
      <c r="I541" s="1358"/>
      <c r="J541" s="440"/>
      <c r="K541" s="1341"/>
      <c r="L541" s="1342" t="str">
        <f>IF(AND(K540=TRUE,K536=TRUE),E540,"")</f>
        <v/>
      </c>
      <c r="M541" s="1342" t="str">
        <f>IF(AND(K536=TRUE,K540=FALSE),"Bien que le parent "&amp;E536&amp;" l'enfant ne semble pas s'ingérer","")</f>
        <v/>
      </c>
      <c r="N541" s="1342" t="str">
        <f>IF(AND(K536=FALSE,K540=TRUE),E540&amp;" sans signe de la participation du parent favorisé et|ou nouveau conjoint.e","")</f>
        <v>Sent le besoin de protéger le parent favorisé sans signe de la participation du parent favorisé et|ou nouveau conjoint.e</v>
      </c>
      <c r="O541" s="1359" t="str">
        <f>IF(AND(K536=FALSE,K540=FALSE),"aucun comportement significatif de cette nature","")</f>
        <v/>
      </c>
      <c r="P541" s="1358"/>
      <c r="Q541" s="440"/>
      <c r="R541" s="1367"/>
      <c r="S541" s="1358"/>
      <c r="T541" s="440"/>
      <c r="U541" s="1367"/>
      <c r="V541" s="807"/>
      <c r="W541" s="823"/>
      <c r="X541" s="824">
        <f>IF(AND(W536="V",W540="V"),2,IF(OR(W536="V",W540="V"),1,0))</f>
        <v>1</v>
      </c>
      <c r="Y541" s="823"/>
      <c r="Z541" s="824">
        <f>IF(OR(Y536="V",Y540="V"),1,0)</f>
        <v>1</v>
      </c>
      <c r="AA541" s="823"/>
      <c r="AB541" s="824"/>
      <c r="AD541" s="10"/>
      <c r="AE541" s="10"/>
      <c r="AF541" s="10"/>
      <c r="AG541" s="1738">
        <f>IF(AND($W536="V",$W540="F"),AG536,IF(AND($W536="F",$W540="V"),AG540,IF(AND($W536="V",$W540="V"),AG536+AG540,0)))</f>
        <v>14</v>
      </c>
      <c r="AH541" s="1738">
        <f>IF(AND($Y536="V",$Y540="F"),AH536,IF(AND($Y536="F",$Y540="V"),AH540,IF(AND($Y536="V",$Y540="V"),AH536+AH540,0)))</f>
        <v>22</v>
      </c>
      <c r="AI541" s="1738"/>
      <c r="AJ541" s="1738">
        <f>IF(AND($W536="V",$W540="F"),AJ537,IF(AND($W536="F",$W540="V"),AJ540,IF(AND($W536="V",$W540="V"),AJ537+AJ540,0)))</f>
        <v>14</v>
      </c>
      <c r="AK541" s="1738">
        <f>IF(AND($W536="V",$W540="F"),AK537,IF(AND($W536="F",$W540="V"),AK540,IF(AND($W536="V",$W540="V"),AK537+AK540,0)))</f>
        <v>20</v>
      </c>
      <c r="AL541" s="1738">
        <f>IF(AND($Y536="V",$Y540="F"),AL537,IF(AND($Y536="F",$Y540="V"),AL540,IF(AND($Y536="V",$Y540="V"),AL537+AL540,0)))</f>
        <v>6</v>
      </c>
      <c r="AM541" s="1738">
        <f>IF(AND($Y536="V",$Y540="F"),AM537,IF(AND($Y536="F",$Y540="V"),AM540,IF(AND($Y536="V",$Y540="V"),AM537+AM540,0)))</f>
        <v>21</v>
      </c>
      <c r="AN541" s="1738"/>
      <c r="AO541" s="1738"/>
    </row>
    <row r="542" spans="1:41" ht="34" x14ac:dyDescent="0.2">
      <c r="A542" t="str">
        <f>IF(Test_Bible!B154="","F","O")</f>
        <v>O</v>
      </c>
      <c r="B542" s="1700" t="str">
        <f>'Cpts AR +indép + Sommaire'!Y81</f>
        <v>Parentification</v>
      </c>
      <c r="C542" s="825" t="str">
        <f>'Cpts AR +indép + Sommaire'!U81</f>
        <v>PCR16</v>
      </c>
      <c r="D542" s="836" t="str">
        <f>'Cpts AR +indép + Sommaire'!V81</f>
        <v xml:space="preserve">Dans quelle mesure acceptez-vous ou êtes-vous serein·e avec la séparation (couple et famille) ? </v>
      </c>
      <c r="E542" s="826"/>
      <c r="F542" s="830">
        <f>'Cpts AR +indép + Sommaire'!W81</f>
        <v>4</v>
      </c>
      <c r="G542" s="830">
        <f>'Cpts AR +indép + Sommaire'!X81</f>
        <v>1</v>
      </c>
      <c r="H542" s="830">
        <f>F542*G542</f>
        <v>4</v>
      </c>
      <c r="I542" s="1374">
        <v>11</v>
      </c>
      <c r="J542" s="1375">
        <v>11</v>
      </c>
      <c r="K542" s="31" t="b">
        <f>IF(AND(F542&gt;=I542,F542&lt;=J542),TRUE,FALSE)</f>
        <v>0</v>
      </c>
      <c r="L542" s="26"/>
      <c r="M542" s="26"/>
      <c r="N542" s="26"/>
      <c r="O542" s="1360"/>
      <c r="P542" s="1350">
        <v>2</v>
      </c>
      <c r="Q542" s="1343">
        <v>7</v>
      </c>
      <c r="R542" s="1351" t="b">
        <f>IF(AND(F542&gt;=P542,F542&lt;=Q542),TRUE,FALSE)</f>
        <v>1</v>
      </c>
      <c r="S542" s="1350">
        <v>4</v>
      </c>
      <c r="T542" s="1343">
        <v>10</v>
      </c>
      <c r="U542" s="1351" t="b">
        <f>IF(AND(F542&gt;=S542,F542&lt;=T542),TRUE,FALSE)</f>
        <v>1</v>
      </c>
      <c r="V542" s="32"/>
      <c r="W542" s="821"/>
      <c r="X542" s="822"/>
      <c r="Y542" s="821"/>
      <c r="Z542" s="822"/>
      <c r="AA542" s="821"/>
      <c r="AB542" s="822"/>
      <c r="AD542" s="10"/>
      <c r="AE542" s="10"/>
      <c r="AF542" s="10"/>
      <c r="AG542" s="832">
        <f>IF($K542=TRUE,H542,0)</f>
        <v>0</v>
      </c>
      <c r="AH542" s="832">
        <f>IF($R542=TRUE,H542,0)</f>
        <v>4</v>
      </c>
      <c r="AI542" s="832">
        <f>IF($U542=TRUE,H542,0)</f>
        <v>4</v>
      </c>
      <c r="AJ542" s="1490">
        <f t="shared" ref="AJ542:AJ543" si="1135">IF(OR(I542=11,A542="F"),0,G542*I542)</f>
        <v>0</v>
      </c>
      <c r="AK542" s="1490">
        <f t="shared" ref="AK542:AK543" si="1136">IF(OR(J542=11,A542="F"),0,G542*J542)</f>
        <v>0</v>
      </c>
      <c r="AL542" s="1490">
        <f t="shared" ref="AL542:AL543" si="1137">IF(OR(P542=11,A542="F"),0,G542*P542)</f>
        <v>2</v>
      </c>
      <c r="AM542" s="1490">
        <f t="shared" ref="AM542:AM543" si="1138">IF(OR(Q542=11,A542="F"),0,G542*Q542)</f>
        <v>7</v>
      </c>
      <c r="AN542" s="1490">
        <f t="shared" ref="AN542:AN543" si="1139">IF(OR(S542=11,A542="F"),0,S542*G542)</f>
        <v>4</v>
      </c>
      <c r="AO542" s="1490">
        <f t="shared" ref="AO542:AO543" si="1140">IF(OR(T542=11,A542="F"),0,T542*G542)</f>
        <v>10</v>
      </c>
    </row>
    <row r="543" spans="1:41" ht="22" thickBot="1" x14ac:dyDescent="0.25">
      <c r="A543" t="str">
        <f>IF(Test_Bible!B155="","F","O")</f>
        <v>O</v>
      </c>
      <c r="B543" s="1700" t="str">
        <f>'Cpts AR +indép + Sommaire'!Y82</f>
        <v>Parentification</v>
      </c>
      <c r="C543" s="21" t="str">
        <f>'Cpts AR +indép + Sommaire'!U82</f>
        <v>PCR16a</v>
      </c>
      <c r="D543" s="698" t="str">
        <f>'Cpts AR +indép + Sommaire'!V82</f>
        <v>Vous confiez à votre enfant votre peine concernant la séparation.</v>
      </c>
      <c r="E543" s="274"/>
      <c r="F543" s="1392">
        <f>'Cpts AR +indép + Sommaire'!W82</f>
        <v>4</v>
      </c>
      <c r="G543" s="1392">
        <f>'Cpts AR +indép + Sommaire'!X82</f>
        <v>2</v>
      </c>
      <c r="H543" s="830">
        <f>F543*G543</f>
        <v>8</v>
      </c>
      <c r="I543" s="1350">
        <v>4</v>
      </c>
      <c r="J543" s="1343">
        <v>10</v>
      </c>
      <c r="K543" s="31" t="b">
        <f>IF(AND(F543&gt;=I543,F543&lt;=J543),TRUE,FALSE)</f>
        <v>1</v>
      </c>
      <c r="L543" s="26"/>
      <c r="M543" s="26"/>
      <c r="N543" s="26"/>
      <c r="O543" s="1360"/>
      <c r="P543" s="1350">
        <v>2</v>
      </c>
      <c r="Q543" s="1343">
        <v>7</v>
      </c>
      <c r="R543" s="1351" t="b">
        <f>IF(AND(F543&gt;=P543,F543&lt;=Q543),TRUE,FALSE)</f>
        <v>1</v>
      </c>
      <c r="S543" s="1350">
        <v>4</v>
      </c>
      <c r="T543" s="1343">
        <v>10</v>
      </c>
      <c r="U543" s="1351" t="b">
        <f>IF(AND(F543&gt;=S543,F543&lt;=T543),TRUE,FALSE)</f>
        <v>1</v>
      </c>
      <c r="V543" s="32"/>
      <c r="W543" s="821"/>
      <c r="X543" s="822"/>
      <c r="Y543" s="821"/>
      <c r="Z543" s="822"/>
      <c r="AA543" s="821"/>
      <c r="AB543" s="822"/>
      <c r="AD543" s="10"/>
      <c r="AE543" s="10"/>
      <c r="AF543" s="10"/>
      <c r="AG543" s="832">
        <f>IF($K543=TRUE,H543,0)</f>
        <v>8</v>
      </c>
      <c r="AH543" s="832">
        <f>IF($R543=TRUE,H543,0)</f>
        <v>8</v>
      </c>
      <c r="AI543" s="832">
        <f>IF($U543=TRUE,H543,0)</f>
        <v>8</v>
      </c>
      <c r="AJ543" s="1490">
        <f t="shared" si="1135"/>
        <v>8</v>
      </c>
      <c r="AK543" s="1490">
        <f t="shared" si="1136"/>
        <v>20</v>
      </c>
      <c r="AL543" s="1490">
        <f t="shared" si="1137"/>
        <v>4</v>
      </c>
      <c r="AM543" s="1490">
        <f t="shared" si="1138"/>
        <v>14</v>
      </c>
      <c r="AN543" s="1490">
        <f t="shared" si="1139"/>
        <v>8</v>
      </c>
      <c r="AO543" s="1490">
        <f t="shared" si="1140"/>
        <v>20</v>
      </c>
    </row>
    <row r="544" spans="1:41" ht="27" thickBot="1" x14ac:dyDescent="0.35">
      <c r="H544" s="33">
        <f>IF(AND(K542=TRUE,K543=FALSE),H542,IF(AND(K542=FALSE,K543=TRUE),H543,MAX(H542,H543)))</f>
        <v>8</v>
      </c>
      <c r="I544" s="1371"/>
      <c r="J544" s="1372"/>
      <c r="K544" s="1378" t="b">
        <f>IF(AND(K542=FALSE,K543=FALSE),FALSE,TRUE)</f>
        <v>1</v>
      </c>
      <c r="L544" s="1361"/>
      <c r="M544" s="1362"/>
      <c r="N544" s="1362"/>
      <c r="O544" s="1363"/>
      <c r="P544" s="1371"/>
      <c r="Q544" s="1372"/>
      <c r="R544" s="1378" t="b">
        <f>IF(AND(R542=FALSE,R543=FALSE),FALSE,TRUE)</f>
        <v>1</v>
      </c>
      <c r="S544" s="1383"/>
      <c r="T544" s="1384"/>
      <c r="U544" s="1385" t="b">
        <f>IF(AND(U542=FALSE,U543=FALSE),FALSE,TRUE)</f>
        <v>1</v>
      </c>
      <c r="W544" s="1315" t="str">
        <f>IF(K544=TRUE,"V","F")</f>
        <v>V</v>
      </c>
      <c r="X544" s="1316"/>
      <c r="Y544" s="1315" t="str">
        <f>IF(R544=TRUE,"V","F")</f>
        <v>V</v>
      </c>
      <c r="Z544" s="1316"/>
      <c r="AA544" s="1315" t="str">
        <f>IF(U544=TRUE,"V","F")</f>
        <v>V</v>
      </c>
      <c r="AB544" s="1316"/>
      <c r="AD544" s="10"/>
      <c r="AE544" s="10"/>
      <c r="AF544" s="10"/>
      <c r="AG544" s="1742">
        <f>IF(AND($K542=TRUE,$K543=FALSE),AG542,IF(AND($K542=FALSE,$K543=TRUE),AG543,MAX(AG542,AG543)))</f>
        <v>8</v>
      </c>
      <c r="AH544" s="1742">
        <f>IF(AND($R542=TRUE,$R543=FALSE),AH542,IF(AND($R542=FALSE,$R543=TRUE),AH543,MAX(AH542,AH543)))</f>
        <v>8</v>
      </c>
      <c r="AI544" s="1742">
        <f>IF(AND($U542=TRUE,$U543=FALSE),AI542,IF(AND($U542=FALSE,$U543=TRUE),AI543,MAX(AI542,AI543)))</f>
        <v>8</v>
      </c>
      <c r="AJ544" s="1742">
        <f>IF(AND($K542=TRUE,$K543=FALSE),AJ542,IF(AND($K542=FALSE,$K543=TRUE),AJ543,MAX(AJ542,AJ543)))</f>
        <v>8</v>
      </c>
      <c r="AK544" s="1742">
        <f>IF(AND($K542=TRUE,$K543=FALSE),AK542,IF(AND($K542=FALSE,$K543=TRUE),AK543,MAX(AK542,AK543)))</f>
        <v>20</v>
      </c>
      <c r="AL544" s="1742">
        <f>IF(AND($R542=TRUE,$R543=FALSE),AL542,IF(AND($R542=FALSE,$R543=TRUE),AL543,MAX(AL542,AL543)))</f>
        <v>4</v>
      </c>
      <c r="AM544" s="1742">
        <f>IF(AND($R542=TRUE,$R543=FALSE),AM542,IF(AND($R542=FALSE,$R543=TRUE),AM543,MAX(AM542,AM543)))</f>
        <v>14</v>
      </c>
      <c r="AN544" s="1742">
        <f>IF(AND($U542=TRUE,$U543=FALSE),AN542,IF(AND($U542=FALSE,$U543=TRUE),AN543,MAX(AN542,AN543)))</f>
        <v>8</v>
      </c>
      <c r="AO544" s="1742">
        <f>IF(AND($U542=TRUE,$U543=FALSE),AO542,IF(AND($U542=FALSE,$U543=TRUE),AO543,MAX(AO542,AO543)))</f>
        <v>20</v>
      </c>
    </row>
    <row r="545" spans="1:41" x14ac:dyDescent="0.3">
      <c r="W545" s="1376"/>
      <c r="X545" s="1377">
        <f>IF(AND(W544="V",W536="V"),X541-1,X541)</f>
        <v>1</v>
      </c>
      <c r="Y545" s="1376"/>
      <c r="Z545" s="1377">
        <f>IF(OR(Y536="V",Y540="V",Y544="V"),1,0)</f>
        <v>1</v>
      </c>
      <c r="AA545" s="1376"/>
      <c r="AB545" s="1377">
        <f>IF(AA536="V",1,IF(AA544="V",1,0))</f>
        <v>1</v>
      </c>
      <c r="AD545" s="10">
        <f>X545</f>
        <v>1</v>
      </c>
      <c r="AE545" s="10">
        <f>Z545</f>
        <v>1</v>
      </c>
      <c r="AF545" s="10">
        <f>AB545</f>
        <v>1</v>
      </c>
      <c r="AG545" s="1741">
        <f>IF($W544="F",AG540,AG540+AG544)</f>
        <v>22</v>
      </c>
      <c r="AH545" s="1741">
        <f>IF($Y544="F",AH540,AH540+AH544)</f>
        <v>22</v>
      </c>
      <c r="AI545" s="1741">
        <f>IF(AND($AA536="V",$AA544="F"),AI536,IF(AND($AA536="F",$AA544="V"),AI544,IF(AND($AA536="V",$AA544="V"),AI536+AI544,0)))</f>
        <v>16</v>
      </c>
      <c r="AJ545" s="1741">
        <f>IF($W544="F",AJ540,AJ540+AJ544)</f>
        <v>22</v>
      </c>
      <c r="AK545" s="1741">
        <f t="shared" ref="AK545" si="1141">IF($W544="F",AK540,AK540+AK544)</f>
        <v>40</v>
      </c>
      <c r="AL545" s="1741">
        <f t="shared" ref="AL545:AM545" si="1142">IF($Y544="F",AL540,AL540+AL544)</f>
        <v>8</v>
      </c>
      <c r="AM545" s="1741">
        <f t="shared" si="1142"/>
        <v>28</v>
      </c>
      <c r="AN545" s="1741">
        <f t="shared" ref="AN545:AO545" si="1143">IF(AND($AA536="V",$AA544="F"),AN536,IF(AND($AA536="F",$AA544="V"),AN544,IF(AND($AA536="V",$AA544="V"),AN536+AN544,0)))</f>
        <v>16</v>
      </c>
      <c r="AO545" s="1741">
        <f t="shared" si="1143"/>
        <v>40</v>
      </c>
    </row>
    <row r="546" spans="1:41" x14ac:dyDescent="0.3">
      <c r="H546" s="438"/>
      <c r="I546" s="1380"/>
      <c r="J546" s="1380"/>
      <c r="K546" s="807"/>
      <c r="L546" s="1381"/>
      <c r="M546" s="1382"/>
      <c r="N546" s="1382"/>
      <c r="P546" s="1380"/>
      <c r="Q546" s="1380"/>
      <c r="R546" s="807"/>
      <c r="S546" s="8"/>
      <c r="T546" s="8"/>
      <c r="U546" s="807"/>
      <c r="W546" s="8"/>
      <c r="X546" s="8"/>
      <c r="Y546" s="8"/>
      <c r="Z546" s="8"/>
      <c r="AA546" s="8"/>
      <c r="AB546" s="8"/>
      <c r="AG546" s="1941"/>
      <c r="AH546" s="1941"/>
      <c r="AI546" s="1941"/>
      <c r="AJ546" s="1941"/>
      <c r="AK546" s="1941"/>
      <c r="AL546" s="1941"/>
      <c r="AM546" s="1941"/>
      <c r="AN546" s="1941"/>
      <c r="AO546" s="1941"/>
    </row>
    <row r="547" spans="1:41" x14ac:dyDescent="0.3">
      <c r="AD547" s="10"/>
      <c r="AE547" s="10"/>
      <c r="AF547" s="10"/>
    </row>
    <row r="548" spans="1:41" x14ac:dyDescent="0.3">
      <c r="B548" s="831"/>
      <c r="C548" s="10"/>
      <c r="D548" s="10"/>
      <c r="E548" s="10"/>
      <c r="F548" s="10"/>
      <c r="G548" s="10"/>
      <c r="H548" s="10"/>
      <c r="I548" s="10"/>
      <c r="J548" s="10"/>
      <c r="K548" s="10"/>
      <c r="L548" s="10"/>
      <c r="M548" s="10"/>
      <c r="N548" s="10"/>
      <c r="O548" s="10"/>
      <c r="P548" s="10"/>
      <c r="Q548" s="10"/>
      <c r="R548" s="10"/>
      <c r="S548" s="10"/>
      <c r="T548" s="10"/>
      <c r="U548" s="10"/>
      <c r="W548" s="10"/>
      <c r="X548" s="10"/>
      <c r="Y548" s="10"/>
      <c r="Z548" s="10"/>
      <c r="AA548" s="10"/>
      <c r="AB548" s="10"/>
      <c r="AD548" s="10"/>
      <c r="AE548" s="10"/>
      <c r="AF548" s="10"/>
    </row>
    <row r="549" spans="1:41" ht="29" x14ac:dyDescent="0.35">
      <c r="C549" s="432" t="s">
        <v>1008</v>
      </c>
      <c r="AD549" s="10"/>
      <c r="AE549" s="10"/>
      <c r="AF549" s="10"/>
    </row>
    <row r="550" spans="1:41" x14ac:dyDescent="0.3">
      <c r="E550" s="85" t="s">
        <v>268</v>
      </c>
      <c r="F550" s="2593" t="s">
        <v>254</v>
      </c>
      <c r="G550" s="2593"/>
      <c r="H550" s="2593"/>
      <c r="I550" s="2593"/>
      <c r="J550" s="2593"/>
      <c r="K550" s="703"/>
      <c r="L550" s="2594"/>
      <c r="M550" s="2594"/>
      <c r="N550" s="2594"/>
      <c r="O550" s="703"/>
      <c r="P550" s="703"/>
      <c r="Q550" s="703"/>
      <c r="R550" s="703"/>
      <c r="S550" s="703"/>
      <c r="T550" s="703"/>
      <c r="U550" s="703"/>
      <c r="V550" s="73"/>
      <c r="AD550" s="10"/>
      <c r="AE550" s="10"/>
      <c r="AF550" s="10"/>
    </row>
    <row r="551" spans="1:41" x14ac:dyDescent="0.3">
      <c r="B551" s="1699">
        <v>1</v>
      </c>
      <c r="D551" s="441" t="e">
        <f>'Cpts AR +indép + Sommaire'!B85</f>
        <v>#REF!</v>
      </c>
      <c r="E551" s="84"/>
      <c r="F551" s="50"/>
      <c r="G551" s="18"/>
      <c r="H551" s="18"/>
      <c r="I551" s="2595" t="s">
        <v>604</v>
      </c>
      <c r="J551" s="2596"/>
      <c r="K551" s="2596"/>
      <c r="L551" s="2597" t="s">
        <v>1086</v>
      </c>
      <c r="M551" s="2597"/>
      <c r="N551" s="2597"/>
      <c r="O551" s="2598"/>
      <c r="P551" s="2599" t="s">
        <v>603</v>
      </c>
      <c r="Q551" s="2600"/>
      <c r="R551" s="2601"/>
      <c r="S551" s="2590" t="s">
        <v>605</v>
      </c>
      <c r="T551" s="2591"/>
      <c r="U551" s="2592"/>
      <c r="V551" s="15"/>
      <c r="W551" s="817"/>
      <c r="X551" s="817"/>
      <c r="Y551" s="817"/>
      <c r="Z551" s="817"/>
      <c r="AA551" s="817"/>
      <c r="AB551" s="818"/>
      <c r="AD551" s="10"/>
      <c r="AE551" s="10"/>
      <c r="AF551" s="10"/>
      <c r="AG551" s="1386" t="s">
        <v>604</v>
      </c>
      <c r="AH551" s="1386" t="s">
        <v>603</v>
      </c>
      <c r="AI551" s="1386" t="s">
        <v>605</v>
      </c>
      <c r="AJ551" s="2589" t="s">
        <v>604</v>
      </c>
      <c r="AK551" s="2589"/>
      <c r="AL551" s="2589" t="s">
        <v>603</v>
      </c>
      <c r="AM551" s="2589"/>
      <c r="AN551" s="2589" t="s">
        <v>605</v>
      </c>
      <c r="AO551" s="2589"/>
    </row>
    <row r="552" spans="1:41" ht="34" x14ac:dyDescent="0.2">
      <c r="B552" s="1700"/>
      <c r="D552" s="79" t="s">
        <v>779</v>
      </c>
      <c r="E552" s="835"/>
      <c r="F552" s="26" t="s">
        <v>226</v>
      </c>
      <c r="G552" s="26" t="s">
        <v>22</v>
      </c>
      <c r="H552" s="26" t="s">
        <v>612</v>
      </c>
      <c r="I552" s="1348" t="s">
        <v>269</v>
      </c>
      <c r="J552" s="29" t="s">
        <v>270</v>
      </c>
      <c r="K552" s="29" t="s">
        <v>271</v>
      </c>
      <c r="L552" s="29" t="s">
        <v>363</v>
      </c>
      <c r="M552" s="29" t="s">
        <v>339</v>
      </c>
      <c r="N552" s="29" t="s">
        <v>340</v>
      </c>
      <c r="O552" s="1349" t="s">
        <v>341</v>
      </c>
      <c r="P552" s="1348" t="s">
        <v>269</v>
      </c>
      <c r="Q552" s="29" t="s">
        <v>270</v>
      </c>
      <c r="R552" s="1349" t="s">
        <v>271</v>
      </c>
      <c r="S552" s="1348" t="s">
        <v>269</v>
      </c>
      <c r="T552" s="29" t="s">
        <v>270</v>
      </c>
      <c r="U552" s="1349" t="s">
        <v>271</v>
      </c>
      <c r="V552" s="736"/>
      <c r="W552" s="827" t="s">
        <v>604</v>
      </c>
      <c r="X552" s="828" t="s">
        <v>754</v>
      </c>
      <c r="Y552" s="827" t="s">
        <v>603</v>
      </c>
      <c r="Z552" s="828" t="s">
        <v>755</v>
      </c>
      <c r="AA552" s="827" t="s">
        <v>605</v>
      </c>
      <c r="AB552" s="828" t="s">
        <v>756</v>
      </c>
      <c r="AD552" s="10"/>
      <c r="AE552" s="10"/>
      <c r="AF552" s="10"/>
      <c r="AG552" s="10"/>
      <c r="AH552" s="10"/>
      <c r="AI552" s="10"/>
      <c r="AJ552" s="1490" t="s">
        <v>1058</v>
      </c>
      <c r="AK552" s="1490" t="s">
        <v>1059</v>
      </c>
      <c r="AL552" s="1490" t="s">
        <v>1058</v>
      </c>
      <c r="AM552" s="1490" t="s">
        <v>1059</v>
      </c>
      <c r="AN552" s="1490" t="s">
        <v>1058</v>
      </c>
      <c r="AO552" s="1490" t="s">
        <v>1059</v>
      </c>
    </row>
    <row r="553" spans="1:41" ht="34" x14ac:dyDescent="0.2">
      <c r="A553" t="str">
        <f>IF(Test_Bible!B185="","F","O")</f>
        <v>O</v>
      </c>
      <c r="B553" s="1700" t="e">
        <f>#REF!</f>
        <v>#REF!</v>
      </c>
      <c r="C553" s="379" t="str">
        <f>'Cpts AR +indép + Sommaire'!C85</f>
        <v>PFA12</v>
      </c>
      <c r="D553" s="25" t="str">
        <f>'Cpts AR +indép + Sommaire'!D85</f>
        <v>L'autre parent questionne votre enfant à son retour de garde afin de connaître la routine (repas, dodo, activités, etc.) chez vous.</v>
      </c>
      <c r="E553" s="78"/>
      <c r="F553" s="709">
        <f>'Cpts AR +indép + Sommaire'!E85</f>
        <v>10</v>
      </c>
      <c r="G553" s="709">
        <f>'Cpts AR +indép + Sommaire'!F85</f>
        <v>1</v>
      </c>
      <c r="H553" s="709">
        <f>F553*G553</f>
        <v>10</v>
      </c>
      <c r="I553" s="1374">
        <v>11</v>
      </c>
      <c r="J553" s="1375">
        <v>11</v>
      </c>
      <c r="K553" s="31" t="b">
        <f>IF(AND(F553&gt;=I553,F553&lt;=J553),TRUE,FALSE)</f>
        <v>0</v>
      </c>
      <c r="L553" s="31"/>
      <c r="M553" s="31"/>
      <c r="N553" s="31"/>
      <c r="O553" s="1351"/>
      <c r="P553" s="1350">
        <v>4</v>
      </c>
      <c r="Q553" s="1343">
        <v>10</v>
      </c>
      <c r="R553" s="1351" t="b">
        <f>IF(AND(F553&gt;=P553,F553&lt;=Q553),TRUE,FALSE)</f>
        <v>1</v>
      </c>
      <c r="S553" s="1350">
        <v>4</v>
      </c>
      <c r="T553" s="1343">
        <v>10</v>
      </c>
      <c r="U553" s="1351" t="b">
        <f>IF(AND(F553&gt;=S553,F553&lt;=T553),TRUE,FALSE)</f>
        <v>1</v>
      </c>
      <c r="V553" s="1327"/>
      <c r="W553" s="819"/>
      <c r="X553" s="820"/>
      <c r="Y553" s="819"/>
      <c r="Z553" s="820"/>
      <c r="AA553" s="819"/>
      <c r="AB553" s="820"/>
      <c r="AD553" s="10"/>
      <c r="AE553" s="10"/>
      <c r="AF553" s="10"/>
      <c r="AG553" s="832">
        <f>IF($K553=TRUE,H553,0)</f>
        <v>0</v>
      </c>
      <c r="AH553" s="832">
        <f>IF($R553=TRUE,H553,0)</f>
        <v>10</v>
      </c>
      <c r="AI553" s="832">
        <f>IF($U553=TRUE,H553,0)</f>
        <v>10</v>
      </c>
      <c r="AJ553" s="1490">
        <f t="shared" ref="AJ553:AJ554" si="1144">IF(OR(I553=11,A553="F"),0,G553*I553)</f>
        <v>0</v>
      </c>
      <c r="AK553" s="1490">
        <f t="shared" ref="AK553:AK554" si="1145">IF(OR(J553=11,A553="F"),0,G553*J553)</f>
        <v>0</v>
      </c>
      <c r="AL553" s="1490">
        <f t="shared" ref="AL553:AL554" si="1146">IF(OR(P553=11,A553="F"),0,G553*P553)</f>
        <v>4</v>
      </c>
      <c r="AM553" s="1490">
        <f t="shared" ref="AM553:AM554" si="1147">IF(OR(Q553=11,A553="F"),0,G553*Q553)</f>
        <v>10</v>
      </c>
      <c r="AN553" s="1490">
        <f t="shared" ref="AN553:AN554" si="1148">IF(OR(S553=11,A553="F"),0,S553*G553)</f>
        <v>4</v>
      </c>
      <c r="AO553" s="1490">
        <f t="shared" ref="AO553:AO554" si="1149">IF(OR(T553=11,A553="F"),0,T553*G553)</f>
        <v>10</v>
      </c>
    </row>
    <row r="554" spans="1:41" ht="34" x14ac:dyDescent="0.2">
      <c r="B554" s="1700"/>
      <c r="C554" s="379"/>
      <c r="D554" s="749" t="str">
        <f>BIBLE!F94</f>
        <v>Arrive-t-il que l'autre parent vous accable de reproches par courriel ou texto au retour des enfants (après votre tour de garde) ?</v>
      </c>
      <c r="E554" s="78"/>
      <c r="F554" s="709"/>
      <c r="G554" s="708"/>
      <c r="H554" s="709">
        <f>F554*G554</f>
        <v>0</v>
      </c>
      <c r="I554" s="1374"/>
      <c r="J554" s="1375"/>
      <c r="K554" s="31"/>
      <c r="L554" s="31"/>
      <c r="M554" s="31"/>
      <c r="N554" s="31"/>
      <c r="O554" s="1351"/>
      <c r="P554" s="1374"/>
      <c r="Q554" s="1375"/>
      <c r="R554" s="1351"/>
      <c r="S554" s="1350"/>
      <c r="T554" s="1343"/>
      <c r="U554" s="1351"/>
      <c r="V554" s="807"/>
      <c r="W554" s="821"/>
      <c r="X554" s="822"/>
      <c r="Y554" s="821"/>
      <c r="Z554" s="822"/>
      <c r="AA554" s="821"/>
      <c r="AB554" s="822"/>
      <c r="AD554" s="10"/>
      <c r="AE554" s="10"/>
      <c r="AF554" s="10"/>
      <c r="AG554" s="832">
        <f>IF($K554=TRUE,H554,0)</f>
        <v>0</v>
      </c>
      <c r="AH554" s="832">
        <f>IF($R554=TRUE,H554,0)</f>
        <v>0</v>
      </c>
      <c r="AI554" s="832">
        <f>IF($U554=TRUE,H554,0)</f>
        <v>0</v>
      </c>
      <c r="AJ554" s="1490">
        <f t="shared" si="1144"/>
        <v>0</v>
      </c>
      <c r="AK554" s="1490">
        <f t="shared" si="1145"/>
        <v>0</v>
      </c>
      <c r="AL554" s="1490">
        <f t="shared" si="1146"/>
        <v>0</v>
      </c>
      <c r="AM554" s="1490">
        <f t="shared" si="1147"/>
        <v>0</v>
      </c>
      <c r="AN554" s="1490">
        <f t="shared" si="1148"/>
        <v>0</v>
      </c>
      <c r="AO554" s="1490">
        <f t="shared" si="1149"/>
        <v>0</v>
      </c>
    </row>
    <row r="555" spans="1:41" ht="34" x14ac:dyDescent="0.2">
      <c r="B555" s="1700"/>
      <c r="C555" s="710" t="s">
        <v>609</v>
      </c>
      <c r="D555" s="711" t="str">
        <f>_xlfn.XLOOKUP(H555,H553:H554,D553:D554)</f>
        <v>L'autre parent questionne votre enfant à son retour de garde afin de connaître la routine (repas, dodo, activités, etc.) chez vous.</v>
      </c>
      <c r="E555" s="712"/>
      <c r="F555" s="713"/>
      <c r="G555" s="713"/>
      <c r="H555" s="713">
        <f>IF(AND(K553=TRUE,K554=FALSE),H553,IF(AND(K553=FALSE,K554=TRUE),H554,MAX(H553,H554)))</f>
        <v>10</v>
      </c>
      <c r="I555" s="1352"/>
      <c r="J555" s="714"/>
      <c r="K555" s="715" t="b">
        <f>IF(AND(K553=FALSE,K554=FALSE),FALSE,TRUE)</f>
        <v>0</v>
      </c>
      <c r="L555" s="31"/>
      <c r="M555" s="31"/>
      <c r="N555" s="31"/>
      <c r="O555" s="1351"/>
      <c r="P555" s="1352"/>
      <c r="Q555" s="714"/>
      <c r="R555" s="1365" t="b">
        <f>IF(AND(R553=FALSE,R554=FALSE),FALSE,TRUE)</f>
        <v>1</v>
      </c>
      <c r="S555" s="1352"/>
      <c r="T555" s="714"/>
      <c r="U555" s="1365" t="b">
        <f>IF(AND(U553=FALSE,U554=FALSE),FALSE,TRUE)</f>
        <v>1</v>
      </c>
      <c r="V555" s="807"/>
      <c r="W555" s="821"/>
      <c r="X555" s="822"/>
      <c r="Y555" s="821"/>
      <c r="Z555" s="822"/>
      <c r="AA555" s="821"/>
      <c r="AB555" s="822"/>
      <c r="AD555" s="10"/>
      <c r="AE555" s="10"/>
      <c r="AF555" s="10"/>
      <c r="AG555" s="1740">
        <f>IF($K555=TRUE,MAX(AG553:AG554),0)</f>
        <v>0</v>
      </c>
      <c r="AH555" s="1740">
        <f>IF($R555=TRUE,MAX(AH553:AH554),0)</f>
        <v>10</v>
      </c>
      <c r="AI555" s="1740">
        <f>IF($U555=TRUE,MAX(AI553:AI554),0)</f>
        <v>10</v>
      </c>
      <c r="AJ555" s="1739">
        <f>MAX(AJ553:AJ554)</f>
        <v>0</v>
      </c>
      <c r="AK555" s="1739">
        <f t="shared" ref="AK555" si="1150">MAX(AK553:AK554)</f>
        <v>0</v>
      </c>
      <c r="AL555" s="1739">
        <f t="shared" ref="AL555" si="1151">MAX(AL553:AL554)</f>
        <v>4</v>
      </c>
      <c r="AM555" s="1739">
        <f t="shared" ref="AM555" si="1152">MAX(AM553:AM554)</f>
        <v>10</v>
      </c>
      <c r="AN555" s="1739">
        <f t="shared" ref="AN555" si="1153">MAX(AN553:AN554)</f>
        <v>4</v>
      </c>
      <c r="AO555" s="1739">
        <f t="shared" ref="AO555" si="1154">MAX(AO553:AO554)</f>
        <v>10</v>
      </c>
    </row>
    <row r="556" spans="1:41" ht="16" x14ac:dyDescent="0.2">
      <c r="B556" s="1700"/>
      <c r="C556" s="38"/>
      <c r="D556" s="25"/>
      <c r="E556" s="78"/>
      <c r="F556" s="709"/>
      <c r="G556" s="708"/>
      <c r="H556" s="709">
        <f>F556*G556</f>
        <v>0</v>
      </c>
      <c r="I556" s="1374">
        <v>11</v>
      </c>
      <c r="J556" s="1375">
        <v>11</v>
      </c>
      <c r="K556" s="31" t="b">
        <f>IF(AND(F556&gt;=I556,F556&lt;=J556),TRUE,FALSE)</f>
        <v>0</v>
      </c>
      <c r="L556" s="31"/>
      <c r="M556" s="31"/>
      <c r="N556" s="31"/>
      <c r="O556" s="1351"/>
      <c r="P556" s="1374">
        <v>11</v>
      </c>
      <c r="Q556" s="1375">
        <v>11</v>
      </c>
      <c r="R556" s="1351" t="b">
        <f>IF(AND(F556&gt;=P556,F556&lt;=Q556),TRUE,FALSE)</f>
        <v>0</v>
      </c>
      <c r="S556" s="1374">
        <v>11</v>
      </c>
      <c r="T556" s="1375">
        <v>11</v>
      </c>
      <c r="U556" s="1351" t="b">
        <f>IF(AND(F556&gt;=S556,F556&lt;=T556),TRUE,FALSE)</f>
        <v>0</v>
      </c>
      <c r="V556" s="807"/>
      <c r="W556" s="821"/>
      <c r="X556" s="822"/>
      <c r="Y556" s="821"/>
      <c r="Z556" s="822"/>
      <c r="AA556" s="821"/>
      <c r="AB556" s="822"/>
      <c r="AD556" s="10"/>
      <c r="AE556" s="10"/>
      <c r="AF556" s="10"/>
      <c r="AG556" s="832">
        <f>IF(K556=TRUE,H556,0)</f>
        <v>0</v>
      </c>
      <c r="AH556" s="832">
        <f>IF(R556=TRUE,H556,0)</f>
        <v>0</v>
      </c>
      <c r="AI556" s="832">
        <f>IF(U556=TRUE,H556,0)</f>
        <v>0</v>
      </c>
      <c r="AJ556" s="1490">
        <f t="shared" ref="AJ556:AJ557" si="1155">IF(OR(I556=11,A556="F"),0,G556*I556)</f>
        <v>0</v>
      </c>
      <c r="AK556" s="1490">
        <f t="shared" ref="AK556:AK557" si="1156">IF(OR(J556=11,A556="F"),0,G556*J556)</f>
        <v>0</v>
      </c>
      <c r="AL556" s="1490">
        <f t="shared" ref="AL556:AL557" si="1157">IF(OR(P556=11,A556="F"),0,G556*P556)</f>
        <v>0</v>
      </c>
      <c r="AM556" s="1490">
        <f t="shared" ref="AM556:AM557" si="1158">IF(OR(Q556=11,A556="F"),0,G556*Q556)</f>
        <v>0</v>
      </c>
      <c r="AN556" s="1490">
        <f t="shared" ref="AN556:AN557" si="1159">IF(OR(S556=11,A556="F"),0,S556*G556)</f>
        <v>0</v>
      </c>
      <c r="AO556" s="1490">
        <f t="shared" ref="AO556:AO557" si="1160">IF(OR(T556=11,A556="F"),0,T556*G556)</f>
        <v>0</v>
      </c>
    </row>
    <row r="557" spans="1:41" ht="16" x14ac:dyDescent="0.2">
      <c r="B557" s="1700"/>
      <c r="C557" s="38"/>
      <c r="D557" s="25"/>
      <c r="E557" s="48"/>
      <c r="F557" s="27"/>
      <c r="G557" s="27"/>
      <c r="H557" s="27">
        <f>F557*G557</f>
        <v>0</v>
      </c>
      <c r="I557" s="1374">
        <v>11</v>
      </c>
      <c r="J557" s="1375">
        <v>11</v>
      </c>
      <c r="K557" s="31" t="b">
        <f>IF(AND(F557&gt;=I557,F557&lt;=J557),TRUE,FALSE)</f>
        <v>0</v>
      </c>
      <c r="L557" s="31"/>
      <c r="M557" s="31"/>
      <c r="N557" s="31"/>
      <c r="O557" s="1351"/>
      <c r="P557" s="1374">
        <v>11</v>
      </c>
      <c r="Q557" s="1375">
        <v>11</v>
      </c>
      <c r="R557" s="1351" t="b">
        <f>IF(AND(F557&gt;=P557,F557&lt;=Q557),TRUE,FALSE)</f>
        <v>0</v>
      </c>
      <c r="S557" s="1374">
        <v>11</v>
      </c>
      <c r="T557" s="1375">
        <v>11</v>
      </c>
      <c r="U557" s="1351" t="b">
        <f>IF(AND(F557&gt;=S557,F557&lt;=T557),TRUE,FALSE)</f>
        <v>0</v>
      </c>
      <c r="V557" s="807"/>
      <c r="W557" s="821"/>
      <c r="X557" s="822"/>
      <c r="Y557" s="821"/>
      <c r="Z557" s="822"/>
      <c r="AA557" s="821"/>
      <c r="AB557" s="822"/>
      <c r="AD557" s="10"/>
      <c r="AE557" s="10"/>
      <c r="AF557" s="10"/>
      <c r="AG557" s="832">
        <f>IF(K557=TRUE,H557,0)</f>
        <v>0</v>
      </c>
      <c r="AH557" s="832">
        <f>IF(R557=TRUE,H557,0)</f>
        <v>0</v>
      </c>
      <c r="AI557" s="832">
        <f>IF(U557=TRUE,H557,0)</f>
        <v>0</v>
      </c>
      <c r="AJ557" s="1490">
        <f t="shared" si="1155"/>
        <v>0</v>
      </c>
      <c r="AK557" s="1490">
        <f t="shared" si="1156"/>
        <v>0</v>
      </c>
      <c r="AL557" s="1490">
        <f t="shared" si="1157"/>
        <v>0</v>
      </c>
      <c r="AM557" s="1490">
        <f t="shared" si="1158"/>
        <v>0</v>
      </c>
      <c r="AN557" s="1490">
        <f t="shared" si="1159"/>
        <v>0</v>
      </c>
      <c r="AO557" s="1490">
        <f t="shared" si="1160"/>
        <v>0</v>
      </c>
    </row>
    <row r="558" spans="1:41" ht="17" thickBot="1" x14ac:dyDescent="0.25">
      <c r="B558" s="1700"/>
      <c r="C558" s="716" t="s">
        <v>610</v>
      </c>
      <c r="D558" s="717">
        <f>_xlfn.XLOOKUP(H558,H556:H557,D556:D557)</f>
        <v>0</v>
      </c>
      <c r="E558" s="718"/>
      <c r="F558" s="719"/>
      <c r="G558" s="719"/>
      <c r="H558" s="713">
        <f>IF(AND(K556=TRUE,K557=FALSE),H556,IF(AND(K556=FALSE,K557=TRUE),H557,MAX(H556,H557)))</f>
        <v>0</v>
      </c>
      <c r="I558" s="1353"/>
      <c r="J558" s="720"/>
      <c r="K558" s="721" t="b">
        <f>IF(AND(K556=FALSE,K557=FALSE),FALSE,TRUE)</f>
        <v>0</v>
      </c>
      <c r="L558" s="31"/>
      <c r="M558" s="31"/>
      <c r="N558" s="31"/>
      <c r="O558" s="1351"/>
      <c r="P558" s="1353"/>
      <c r="Q558" s="720"/>
      <c r="R558" s="1366" t="b">
        <f>IF(AND(R556=FALSE,R557=FALSE),FALSE,TRUE)</f>
        <v>0</v>
      </c>
      <c r="S558" s="1353"/>
      <c r="T558" s="720"/>
      <c r="U558" s="1366" t="b">
        <f>IF(AND(U556=FALSE,U557=FALSE),FALSE,TRUE)</f>
        <v>0</v>
      </c>
      <c r="V558" s="807"/>
      <c r="W558" s="821"/>
      <c r="X558" s="822"/>
      <c r="Y558" s="821"/>
      <c r="Z558" s="822"/>
      <c r="AA558" s="821"/>
      <c r="AB558" s="822"/>
      <c r="AD558" s="10"/>
      <c r="AE558" s="10"/>
      <c r="AF558" s="10"/>
      <c r="AG558" s="1740">
        <f>IF($K558=TRUE,MAX(AG556:AG557),0)</f>
        <v>0</v>
      </c>
      <c r="AH558" s="1740">
        <f>IF($R558=TRUE,MAX(AH556:AH557),0)</f>
        <v>0</v>
      </c>
      <c r="AI558" s="1740">
        <f>IF($U558=TRUE,MAX(AI556:AI557),0)</f>
        <v>0</v>
      </c>
      <c r="AJ558" s="1739">
        <f>MAX(AJ556:AJ557)</f>
        <v>0</v>
      </c>
      <c r="AK558" s="1739">
        <f t="shared" ref="AK558" si="1161">MAX(AK556:AK557)</f>
        <v>0</v>
      </c>
      <c r="AL558" s="1739">
        <f t="shared" ref="AL558" si="1162">MAX(AL556:AL557)</f>
        <v>0</v>
      </c>
      <c r="AM558" s="1739">
        <f t="shared" ref="AM558" si="1163">MAX(AM556:AM557)</f>
        <v>0</v>
      </c>
      <c r="AN558" s="1739">
        <f t="shared" ref="AN558" si="1164">MAX(AN556:AN557)</f>
        <v>0</v>
      </c>
      <c r="AO558" s="1739">
        <f t="shared" ref="AO558" si="1165">MAX(AO556:AO557)</f>
        <v>0</v>
      </c>
    </row>
    <row r="559" spans="1:41" ht="35" thickBot="1" x14ac:dyDescent="0.25">
      <c r="B559" s="1700"/>
      <c r="C559" s="722" t="s">
        <v>616</v>
      </c>
      <c r="D559" s="723"/>
      <c r="E559" s="723"/>
      <c r="F559" s="724"/>
      <c r="G559" s="724"/>
      <c r="H559" s="724">
        <f>IF(AND(K555=TRUE,K558=FALSE),H555,IF(AND(K555=FALSE,K558=TRUE),H558,IF(AND(K555=TRUE,K558=TRUE),H555+H558,MAX(H555,H558))))</f>
        <v>10</v>
      </c>
      <c r="I559" s="1354"/>
      <c r="J559" s="725"/>
      <c r="K559" s="726" t="b">
        <f>IF(AND(K555=FALSE,K558=FALSE),FALSE,TRUE)</f>
        <v>0</v>
      </c>
      <c r="L559" s="1338"/>
      <c r="M559" s="1338"/>
      <c r="N559" s="1338"/>
      <c r="O559" s="1355"/>
      <c r="P559" s="1354"/>
      <c r="Q559" s="725"/>
      <c r="R559" s="726" t="b">
        <f>IF(AND(R555=FALSE,R558=FALSE),FALSE,TRUE)</f>
        <v>1</v>
      </c>
      <c r="S559" s="1354"/>
      <c r="T559" s="725"/>
      <c r="U559" s="726" t="b">
        <f>IF(AND(U555=FALSE,U558=FALSE),FALSE,TRUE)</f>
        <v>1</v>
      </c>
      <c r="V559" s="807"/>
      <c r="W559" s="821" t="str">
        <f>IF(K559=TRUE,"V","F")</f>
        <v>F</v>
      </c>
      <c r="X559" s="822"/>
      <c r="Y559" s="821" t="str">
        <f>IF(R559=TRUE,"V","F")</f>
        <v>V</v>
      </c>
      <c r="Z559" s="822"/>
      <c r="AA559" s="821" t="str">
        <f>IF(U559=TRUE,"V","F")</f>
        <v>V</v>
      </c>
      <c r="AB559" s="822"/>
      <c r="AD559" s="10"/>
      <c r="AE559" s="10"/>
      <c r="AF559" s="10"/>
      <c r="AG559" s="591">
        <f>IF(AND($K555=TRUE,$K558=FALSE),AG555,IF(AND($K555=FALSE,$K558=TRUE),AG558,IF(AND($K555=TRUE,$K558=TRUE),AG555+AG558,0)))</f>
        <v>0</v>
      </c>
      <c r="AH559" s="591">
        <f>IF(AND($R555=TRUE,$R558=FALSE),AH555,IF(AND($R555=FALSE,$R558=TRUE),AH558,IF(AND($R555=TRUE,$R558=TRUE),AH555+AH558,0)))</f>
        <v>10</v>
      </c>
      <c r="AI559" s="591">
        <f>IF(AND($U555=TRUE,$U558=FALSE),AI555,IF(AND($U555=FALSE,$U558=TRUE),AI558,IF(AND($U555=TRUE,$U558=TRUE),AI555+AI558,0)))</f>
        <v>10</v>
      </c>
      <c r="AJ559" s="591">
        <f>IF(AND($K555=TRUE,$K558=FALSE),AJ555,IF(AND($K555=FALSE,$K558=TRUE),AJ558,IF(AND($K555=TRUE,$K558=TRUE),AJ555+AJ558,MAX(AJ555,AJ558))))</f>
        <v>0</v>
      </c>
      <c r="AK559" s="591">
        <f>IF(AND($K555=TRUE,$K558=FALSE),AK555,IF(AND($K555=FALSE,$K558=TRUE),AK558,IF(AND($K555=TRUE,$K558=TRUE),AK555+AK558,MAX(AK555,AK558))))</f>
        <v>0</v>
      </c>
      <c r="AL559" s="591">
        <f t="shared" ref="AL559" si="1166">IF(AND($R555=TRUE,$R558=FALSE),AL555,IF(AND($R555=FALSE,$R558=TRUE),AL558,IF(AND($R555=TRUE,$R558=TRUE),AL555+AL558,MAX(AL555,AL558))))</f>
        <v>4</v>
      </c>
      <c r="AM559" s="591">
        <f t="shared" ref="AM559" si="1167">IF(AND($R555=TRUE,$R558=FALSE),AM555,IF(AND($R555=FALSE,$R558=TRUE),AM558,IF(AND($R555=TRUE,$R558=TRUE),AM555+AM558,MAX(AM555,AM558))))</f>
        <v>10</v>
      </c>
      <c r="AN559" s="591">
        <f t="shared" ref="AN559" si="1168">IF(AND($U555=TRUE,$U558=FALSE),AN555,IF(AND($U555=FALSE,$U558=TRUE),AN558,IF(AND($U555=TRUE,$U558=TRUE),AN555+AN558,MAX(AN555,AN558))))</f>
        <v>4</v>
      </c>
      <c r="AO559" s="591">
        <f t="shared" ref="AO559" si="1169">IF(AND($U555=TRUE,$U558=FALSE),AO555,IF(AND($U555=FALSE,$U558=TRUE),AO558,IF(AND($U555=TRUE,$U558=TRUE),AO555+AO558,MAX(AO555,AO558))))</f>
        <v>10</v>
      </c>
    </row>
    <row r="560" spans="1:41" ht="21" x14ac:dyDescent="0.2">
      <c r="B560" s="1700"/>
      <c r="C560" s="287">
        <f>'Cpts AR +indép + Sommaire'!O511</f>
        <v>0</v>
      </c>
      <c r="D560" s="25">
        <f>Test_Bible!B803</f>
        <v>0</v>
      </c>
      <c r="E560" s="48"/>
      <c r="F560" s="709">
        <f>Test_Bible!P803</f>
        <v>0</v>
      </c>
      <c r="G560" s="708">
        <f>Test_Bible!D803</f>
        <v>0</v>
      </c>
      <c r="H560" s="709">
        <f>F560*G560</f>
        <v>0</v>
      </c>
      <c r="I560" s="1374">
        <v>11</v>
      </c>
      <c r="J560" s="1375">
        <v>11</v>
      </c>
      <c r="K560" s="31" t="b">
        <f>IF(AND(F560&gt;=I560,F560&lt;=J560),TRUE,FALSE)</f>
        <v>0</v>
      </c>
      <c r="L560" s="31"/>
      <c r="M560" s="31"/>
      <c r="N560" s="31"/>
      <c r="O560" s="1351"/>
      <c r="P560" s="1374">
        <v>11</v>
      </c>
      <c r="Q560" s="1375">
        <v>11</v>
      </c>
      <c r="R560" s="1351" t="b">
        <f>IF(AND(F560&gt;=P560,F560&lt;=Q560),TRUE,FALSE)</f>
        <v>0</v>
      </c>
      <c r="S560" s="1350"/>
      <c r="T560" s="1343"/>
      <c r="U560" s="1351"/>
      <c r="V560" s="807"/>
      <c r="W560" s="821" t="s">
        <v>753</v>
      </c>
      <c r="X560" s="822"/>
      <c r="Y560" s="821"/>
      <c r="Z560" s="822"/>
      <c r="AA560" s="821"/>
      <c r="AB560" s="822"/>
      <c r="AD560" s="10"/>
      <c r="AE560" s="10"/>
      <c r="AF560" s="10"/>
      <c r="AG560" s="832">
        <f>IF($K560=TRUE,H560,0)</f>
        <v>0</v>
      </c>
      <c r="AH560" s="832">
        <f>IF($R560=TRUE,H560,0)</f>
        <v>0</v>
      </c>
      <c r="AI560" s="832"/>
      <c r="AJ560" s="1490">
        <f t="shared" ref="AJ560:AJ561" si="1170">IF(OR(I560=11,A560="F"),0,G560*I560)</f>
        <v>0</v>
      </c>
      <c r="AK560" s="1490">
        <f t="shared" ref="AK560:AK561" si="1171">IF(OR(J560=11,A560="F"),0,G560*J560)</f>
        <v>0</v>
      </c>
      <c r="AL560" s="1490">
        <f t="shared" ref="AL560:AL561" si="1172">IF(OR(P560=11,A560="F"),0,G560*P560)</f>
        <v>0</v>
      </c>
      <c r="AM560" s="1490">
        <f t="shared" ref="AM560:AM561" si="1173">IF(OR(Q560=11,A560="F"),0,G560*Q560)</f>
        <v>0</v>
      </c>
      <c r="AN560" s="1490">
        <f t="shared" ref="AN560:AN561" si="1174">IF(OR(S560=11,A560="F"),0,S560*G560)</f>
        <v>0</v>
      </c>
      <c r="AO560" s="1490">
        <f t="shared" ref="AO560:AO561" si="1175">IF(OR(T560=11,A560="F"),0,T560*G560)</f>
        <v>0</v>
      </c>
    </row>
    <row r="561" spans="1:41" ht="17" thickBot="1" x14ac:dyDescent="0.25">
      <c r="B561" s="1700"/>
      <c r="C561" s="287">
        <f>'Cpts AR +indép + Sommaire'!O512</f>
        <v>0</v>
      </c>
      <c r="D561" s="698">
        <f>Test_Bible!B804</f>
        <v>0</v>
      </c>
      <c r="E561" s="48"/>
      <c r="F561" s="709">
        <f>Test_Bible!P804</f>
        <v>0</v>
      </c>
      <c r="G561" s="708">
        <f>Test_Bible!D804</f>
        <v>0</v>
      </c>
      <c r="H561" s="709">
        <f>F561*G561</f>
        <v>0</v>
      </c>
      <c r="I561" s="1374">
        <v>11</v>
      </c>
      <c r="J561" s="1375">
        <v>11</v>
      </c>
      <c r="K561" s="31" t="b">
        <f>IF(AND(F561&gt;=I561,F561&lt;=J561),TRUE,FALSE)</f>
        <v>0</v>
      </c>
      <c r="L561" s="31"/>
      <c r="M561" s="31"/>
      <c r="N561" s="31"/>
      <c r="O561" s="1351"/>
      <c r="P561" s="1374">
        <v>11</v>
      </c>
      <c r="Q561" s="1375">
        <v>11</v>
      </c>
      <c r="R561" s="1351" t="b">
        <f>IF(AND(F561&gt;=P561,F561&lt;=Q561),TRUE,FALSE)</f>
        <v>0</v>
      </c>
      <c r="S561" s="1374"/>
      <c r="T561" s="1375"/>
      <c r="U561" s="1351"/>
      <c r="V561" s="807"/>
      <c r="W561" s="821"/>
      <c r="X561" s="822"/>
      <c r="Y561" s="821"/>
      <c r="Z561" s="822"/>
      <c r="AA561" s="821"/>
      <c r="AB561" s="822"/>
      <c r="AD561" s="10"/>
      <c r="AE561" s="10"/>
      <c r="AF561" s="10"/>
      <c r="AG561" s="832">
        <f>IF($K561=TRUE,H561,0)</f>
        <v>0</v>
      </c>
      <c r="AH561" s="832">
        <f>IF($R561=TRUE,H561,0)</f>
        <v>0</v>
      </c>
      <c r="AI561" s="832"/>
      <c r="AJ561" s="1490">
        <f t="shared" si="1170"/>
        <v>0</v>
      </c>
      <c r="AK561" s="1490">
        <f t="shared" si="1171"/>
        <v>0</v>
      </c>
      <c r="AL561" s="1490">
        <f t="shared" si="1172"/>
        <v>0</v>
      </c>
      <c r="AM561" s="1490">
        <f t="shared" si="1173"/>
        <v>0</v>
      </c>
      <c r="AN561" s="1490">
        <f t="shared" si="1174"/>
        <v>0</v>
      </c>
      <c r="AO561" s="1490">
        <f t="shared" si="1175"/>
        <v>0</v>
      </c>
    </row>
    <row r="562" spans="1:41" ht="17" thickBot="1" x14ac:dyDescent="0.25">
      <c r="B562" s="1700"/>
      <c r="C562" s="727" t="s">
        <v>611</v>
      </c>
      <c r="D562" s="728">
        <f>_xlfn.XLOOKUP(H562,H560:H561,D560:D561)</f>
        <v>0</v>
      </c>
      <c r="E562" s="728"/>
      <c r="F562" s="729"/>
      <c r="G562" s="729"/>
      <c r="H562" s="729">
        <f>IF(AND(K560=TRUE,K561=FALSE),H560,IF(AND(K560=FALSE,K561=TRUE),H561,MAX(H560,H561)))</f>
        <v>0</v>
      </c>
      <c r="I562" s="1356"/>
      <c r="J562" s="730"/>
      <c r="K562" s="731" t="b">
        <f>IF(AND(K560=FALSE,K561=FALSE),FALSE,TRUE)</f>
        <v>0</v>
      </c>
      <c r="L562" s="1339"/>
      <c r="M562" s="1339"/>
      <c r="N562" s="1339"/>
      <c r="O562" s="1357"/>
      <c r="P562" s="1356"/>
      <c r="Q562" s="730"/>
      <c r="R562" s="731" t="b">
        <f>IF(AND(R560=FALSE,R561=FALSE),FALSE,TRUE)</f>
        <v>0</v>
      </c>
      <c r="S562" s="1356"/>
      <c r="T562" s="730"/>
      <c r="U562" s="731"/>
      <c r="V562" s="807"/>
      <c r="W562" s="821" t="str">
        <f>IF(K562=TRUE,"V","F")</f>
        <v>F</v>
      </c>
      <c r="X562" s="822"/>
      <c r="Y562" s="821" t="str">
        <f>IF(R562=TRUE,"V","F")</f>
        <v>F</v>
      </c>
      <c r="Z562" s="822"/>
      <c r="AA562" s="821"/>
      <c r="AB562" s="822"/>
      <c r="AD562" s="10"/>
      <c r="AE562" s="10"/>
      <c r="AF562" s="10"/>
      <c r="AG562" s="1742">
        <f>IF(AND($K560=TRUE,$K561=FALSE),AG560,IF(AND($K560=FALSE,$K561=TRUE),AG561,IF(AND($K560=TRUE,$K561=TRUE),MAX(AG560,AG561),0)))</f>
        <v>0</v>
      </c>
      <c r="AH562" s="1742">
        <f>IF(AND($R560=TRUE,$R561=FALSE),AH560,IF(AND($R560=FALSE,$R561=TRUE),AH561,IF(AND($R560=TRUE,$R561=TRUE),MAX(AH560,AH561),0)))</f>
        <v>0</v>
      </c>
      <c r="AI562" s="1742"/>
      <c r="AJ562" s="1742">
        <f>IF(AND($K560=TRUE,$K561=FALSE),AJ560,IF(AND($K560=FALSE,$K561=TRUE),AJ561,IF(AND($K560=TRUE,$K561=TRUE),MAX(AJ560,AJ561),0)))</f>
        <v>0</v>
      </c>
      <c r="AK562" s="1742">
        <f>IF(AND($K560=TRUE,$K561=FALSE),AK560,IF(AND($K560=FALSE,$K561=TRUE),AK561,IF(AND($K560=TRUE,$K561=TRUE),MAX(AK560,AK561),0)))</f>
        <v>0</v>
      </c>
      <c r="AL562" s="1742">
        <f t="shared" ref="AL562" si="1176">IF(AND($R560=TRUE,$R561=FALSE),AL560,IF(AND($R560=FALSE,$R561=TRUE),AL561,IF(AND($R560=TRUE,$R561=TRUE),MAX(AL560,AL561),0)))</f>
        <v>0</v>
      </c>
      <c r="AM562" s="1742">
        <f t="shared" ref="AM562" si="1177">IF(AND($R560=TRUE,$R561=FALSE),AM560,IF(AND($R560=FALSE,$R561=TRUE),AM561,IF(AND($R560=TRUE,$R561=TRUE),MAX(AM560,AM561),0)))</f>
        <v>0</v>
      </c>
      <c r="AN562" s="1742"/>
      <c r="AO562" s="1742"/>
    </row>
    <row r="563" spans="1:41" ht="17" x14ac:dyDescent="0.2">
      <c r="B563" s="1700"/>
      <c r="D563" s="386" t="s">
        <v>273</v>
      </c>
      <c r="E563" s="705"/>
      <c r="F563" s="439" t="s">
        <v>349</v>
      </c>
      <c r="G563" s="33"/>
      <c r="H563" s="33">
        <f>IF(AND(K559=TRUE,K562=FALSE),H559,IF(AND(K559=FALSE,K562=TRUE),H562,IF(AND(K559=TRUE,K562=TRUE),H559+H562,MAX(H559,H562))))</f>
        <v>10</v>
      </c>
      <c r="I563" s="1358"/>
      <c r="J563" s="440"/>
      <c r="K563" s="1341"/>
      <c r="L563" s="1342"/>
      <c r="M563" s="1342"/>
      <c r="N563" s="1342"/>
      <c r="O563" s="1359"/>
      <c r="P563" s="1358"/>
      <c r="Q563" s="440"/>
      <c r="R563" s="1367"/>
      <c r="S563" s="1358"/>
      <c r="T563" s="440"/>
      <c r="U563" s="1367"/>
      <c r="V563" s="145"/>
      <c r="W563" s="823"/>
      <c r="X563" s="824">
        <f>IF(AND(W559="V",W562="V"),2,IF(OR(W559="V",W562="V"),1,0))</f>
        <v>0</v>
      </c>
      <c r="Y563" s="823"/>
      <c r="Z563" s="824">
        <f>IF(OR(Y559="V",Y562="V"),1,0)</f>
        <v>1</v>
      </c>
      <c r="AA563" s="823"/>
      <c r="AB563" s="824"/>
      <c r="AD563" s="10"/>
      <c r="AE563" s="10"/>
      <c r="AF563" s="10"/>
      <c r="AG563" s="1738">
        <f>IF(AND($W559="V",$W562="F"),AG559,IF(AND($W559="F",$W562="V"),AG562,IF(AND($W559="V",$W562="V"),AG559+AG562,0)))</f>
        <v>0</v>
      </c>
      <c r="AH563" s="1738">
        <f>IF(AND($Y559="V",$Y562="F"),AH559,IF(AND($Y559="F",$Y562="V"),AH562,IF(AND($Y559="V",$Y562="V"),AH559+AH562,0)))</f>
        <v>10</v>
      </c>
      <c r="AI563" s="1738"/>
      <c r="AJ563" s="1738">
        <f>IF(AND($W559="V",$W562="F"),AJ559,IF(AND($W559="F",$W562="V"),AJ562,IF(AND($W559="V",$W562="V"),AJ559+AJ562,0)))</f>
        <v>0</v>
      </c>
      <c r="AK563" s="1738">
        <f>IF(AND($W559="V",$W562="F"),AK559,IF(AND($W559="F",$W562="V"),AK562,IF(AND($W559="V",$W562="V"),AK559+AK562,0)))</f>
        <v>0</v>
      </c>
      <c r="AL563" s="1738">
        <f>IF(AND($Y559="V",$Y562="F"),AL559,IF(AND($Y559="F",$Y562="V"),AL562,IF(AND($Y559="V",$Y562="V"),AL559+AL562,0)))</f>
        <v>4</v>
      </c>
      <c r="AM563" s="1738">
        <f>IF(AND($Y559="V",$Y562="F"),AM559,IF(AND($Y559="F",$Y562="V"),AM562,IF(AND($Y559="V",$Y562="V"),AM559+AM562,0)))</f>
        <v>10</v>
      </c>
      <c r="AN563" s="1738"/>
      <c r="AO563" s="1738"/>
    </row>
    <row r="564" spans="1:41" ht="16" x14ac:dyDescent="0.2">
      <c r="B564" s="1700"/>
      <c r="C564" t="s">
        <v>238</v>
      </c>
      <c r="I564" s="122"/>
      <c r="L564" s="32"/>
      <c r="M564" s="32"/>
      <c r="N564" s="32"/>
      <c r="O564" s="1379"/>
      <c r="P564" s="122"/>
      <c r="R564" s="292"/>
      <c r="S564" s="122"/>
      <c r="U564" s="292"/>
      <c r="V564" s="32"/>
      <c r="W564" s="821"/>
      <c r="X564" s="822"/>
      <c r="Y564" s="821"/>
      <c r="Z564" s="822"/>
      <c r="AA564" s="821"/>
      <c r="AB564" s="822"/>
      <c r="AD564" s="10"/>
      <c r="AE564" s="10"/>
      <c r="AF564" s="10"/>
      <c r="AG564" s="832"/>
      <c r="AH564" s="832"/>
      <c r="AI564" s="832"/>
      <c r="AJ564" s="1490"/>
      <c r="AK564" s="1490"/>
      <c r="AL564" s="1490"/>
      <c r="AM564" s="1490"/>
      <c r="AN564" s="1490"/>
      <c r="AO564" s="1490"/>
    </row>
    <row r="565" spans="1:41" ht="34" x14ac:dyDescent="0.2">
      <c r="A565" t="str">
        <f>IF(Test_Bible!B125="","F","O")</f>
        <v>O</v>
      </c>
      <c r="B565" s="1700" t="e">
        <f>#REF!</f>
        <v>#REF!</v>
      </c>
      <c r="C565" s="825" t="str">
        <f>'Cpts AR +indép + Sommaire'!U85</f>
        <v>PCR04</v>
      </c>
      <c r="D565" s="836" t="str">
        <f>'Cpts AR +indép + Sommaire'!V85</f>
        <v>Vous questionnez votre enfant à son retour de garde afin de connaître la routine (repas, dodo, activités, etc.) chez l'autre parent.</v>
      </c>
      <c r="E565" s="826"/>
      <c r="F565" s="830">
        <f>'Cpts AR +indép + Sommaire'!W85</f>
        <v>4</v>
      </c>
      <c r="G565" s="830">
        <f>'Cpts AR +indép + Sommaire'!X85</f>
        <v>1</v>
      </c>
      <c r="H565" s="830">
        <f>F565*G565</f>
        <v>4</v>
      </c>
      <c r="I565" s="1374">
        <v>11</v>
      </c>
      <c r="J565" s="1375">
        <v>11</v>
      </c>
      <c r="K565" s="31" t="b">
        <f>IF(AND(F565&gt;=I565,F565&lt;=J565),TRUE,FALSE)</f>
        <v>0</v>
      </c>
      <c r="L565" s="26"/>
      <c r="M565" s="26"/>
      <c r="N565" s="26"/>
      <c r="O565" s="1360"/>
      <c r="P565" s="1350">
        <v>4</v>
      </c>
      <c r="Q565" s="1343">
        <v>10</v>
      </c>
      <c r="R565" s="1351" t="b">
        <f>IF(AND(F565&gt;=P565,F565&lt;=Q565),TRUE,FALSE)</f>
        <v>1</v>
      </c>
      <c r="S565" s="1350">
        <v>7</v>
      </c>
      <c r="T565" s="1343">
        <v>10</v>
      </c>
      <c r="U565" s="1351" t="b">
        <f>IF(AND(F565&gt;=S565,F565&lt;=T565),TRUE,FALSE)</f>
        <v>0</v>
      </c>
      <c r="V565" s="1327"/>
      <c r="W565" s="821"/>
      <c r="X565" s="822"/>
      <c r="Y565" s="821"/>
      <c r="Z565" s="822"/>
      <c r="AA565" s="821"/>
      <c r="AB565" s="822"/>
      <c r="AD565" s="10"/>
      <c r="AE565" s="10"/>
      <c r="AF565" s="10"/>
      <c r="AG565" s="832">
        <f>IF($K565=TRUE,H565,0)</f>
        <v>0</v>
      </c>
      <c r="AH565" s="832">
        <f>IF($R565=TRUE,H565,0)</f>
        <v>4</v>
      </c>
      <c r="AI565" s="832">
        <f>IF($U565=TRUE,H565,0)</f>
        <v>0</v>
      </c>
      <c r="AJ565" s="1490">
        <f t="shared" ref="AJ565:AJ566" si="1178">IF(OR(I565=11,A565="F"),0,G565*I565)</f>
        <v>0</v>
      </c>
      <c r="AK565" s="1490">
        <f t="shared" ref="AK565:AK566" si="1179">IF(OR(J565=11,A565="F"),0,G565*J565)</f>
        <v>0</v>
      </c>
      <c r="AL565" s="1490">
        <f t="shared" ref="AL565:AL566" si="1180">IF(OR(P565=11,A565="F"),0,G565*P565)</f>
        <v>4</v>
      </c>
      <c r="AM565" s="1490">
        <f t="shared" ref="AM565:AM566" si="1181">IF(OR(Q565=11,A565="F"),0,G565*Q565)</f>
        <v>10</v>
      </c>
      <c r="AN565" s="1490">
        <f t="shared" ref="AN565:AN566" si="1182">IF(OR(S565=11,A565="F"),0,S565*G565)</f>
        <v>7</v>
      </c>
      <c r="AO565" s="1490">
        <f t="shared" ref="AO565:AO566" si="1183">IF(OR(T565=11,A565="F"),0,T565*G565)</f>
        <v>10</v>
      </c>
    </row>
    <row r="566" spans="1:41" ht="17" thickBot="1" x14ac:dyDescent="0.25">
      <c r="B566" s="1700">
        <f>'Cpts AR +indép + Sommaire'!Y105</f>
        <v>0</v>
      </c>
      <c r="C566" s="21"/>
      <c r="D566" s="698"/>
      <c r="E566" s="274"/>
      <c r="F566" s="1392"/>
      <c r="G566" s="1392"/>
      <c r="H566" s="830">
        <f>F566*G566</f>
        <v>0</v>
      </c>
      <c r="I566" s="1374">
        <v>11</v>
      </c>
      <c r="J566" s="1375">
        <v>11</v>
      </c>
      <c r="K566" s="31" t="b">
        <f>IF(AND(F566&gt;=I566,F566&lt;=J566),TRUE,FALSE)</f>
        <v>0</v>
      </c>
      <c r="L566" s="26"/>
      <c r="M566" s="26"/>
      <c r="N566" s="26"/>
      <c r="O566" s="1360"/>
      <c r="P566" s="1374">
        <v>11</v>
      </c>
      <c r="Q566" s="1375">
        <v>11</v>
      </c>
      <c r="R566" s="1351" t="b">
        <f>IF(AND(F566&gt;=P566,F566&lt;=Q566),TRUE,FALSE)</f>
        <v>0</v>
      </c>
      <c r="S566" s="1374">
        <v>11</v>
      </c>
      <c r="T566" s="1375">
        <v>11</v>
      </c>
      <c r="U566" s="1351" t="b">
        <f>IF(AND(F566&gt;=S566,F566&lt;=T566),TRUE,FALSE)</f>
        <v>0</v>
      </c>
      <c r="V566" s="32"/>
      <c r="W566" s="821"/>
      <c r="X566" s="822"/>
      <c r="Y566" s="821"/>
      <c r="Z566" s="822"/>
      <c r="AA566" s="821"/>
      <c r="AB566" s="822"/>
      <c r="AD566" s="10"/>
      <c r="AE566" s="10"/>
      <c r="AF566" s="10"/>
      <c r="AG566" s="832">
        <f>IF($K566=TRUE,H566,0)</f>
        <v>0</v>
      </c>
      <c r="AH566" s="832">
        <f>IF($R566=TRUE,H566,0)</f>
        <v>0</v>
      </c>
      <c r="AI566" s="832">
        <f>IF($U566=TRUE,H566,0)</f>
        <v>0</v>
      </c>
      <c r="AJ566" s="1490">
        <f t="shared" si="1178"/>
        <v>0</v>
      </c>
      <c r="AK566" s="1490">
        <f t="shared" si="1179"/>
        <v>0</v>
      </c>
      <c r="AL566" s="1490">
        <f t="shared" si="1180"/>
        <v>0</v>
      </c>
      <c r="AM566" s="1490">
        <f t="shared" si="1181"/>
        <v>0</v>
      </c>
      <c r="AN566" s="1490">
        <f t="shared" si="1182"/>
        <v>0</v>
      </c>
      <c r="AO566" s="1490">
        <f t="shared" si="1183"/>
        <v>0</v>
      </c>
    </row>
    <row r="567" spans="1:41" ht="27" thickBot="1" x14ac:dyDescent="0.35">
      <c r="B567" s="1700"/>
      <c r="E567" s="732"/>
      <c r="F567" s="73"/>
      <c r="G567" s="73"/>
      <c r="H567" s="33">
        <f>IF(AND(K565=TRUE,K180=FALSE),H565,IF(AND(K565=FALSE,K180=TRUE),H180,MAX(H565,H180)))</f>
        <v>4</v>
      </c>
      <c r="I567" s="1371"/>
      <c r="J567" s="1372"/>
      <c r="K567" s="1378" t="b">
        <f>IF(AND(K565=FALSE,K180=FALSE),FALSE,TRUE)</f>
        <v>0</v>
      </c>
      <c r="L567" s="1361"/>
      <c r="M567" s="1362"/>
      <c r="N567" s="1362"/>
      <c r="O567" s="1363"/>
      <c r="P567" s="1371"/>
      <c r="Q567" s="1372"/>
      <c r="R567" s="1378" t="b">
        <f>IF(AND(R565=FALSE,R180=FALSE),FALSE,TRUE)</f>
        <v>1</v>
      </c>
      <c r="S567" s="1383"/>
      <c r="T567" s="1384"/>
      <c r="U567" s="1385" t="b">
        <f>IF(AND(U565=FALSE,U180=FALSE),FALSE,TRUE)</f>
        <v>0</v>
      </c>
      <c r="V567" s="73"/>
      <c r="W567" s="1315" t="str">
        <f>IF(K567=TRUE,"V","F")</f>
        <v>F</v>
      </c>
      <c r="X567" s="1316"/>
      <c r="Y567" s="1315" t="str">
        <f>IF(R567=TRUE,"V","F")</f>
        <v>V</v>
      </c>
      <c r="Z567" s="1316"/>
      <c r="AA567" s="1315" t="str">
        <f>IF(U567=TRUE,"V","F")</f>
        <v>F</v>
      </c>
      <c r="AB567" s="1316"/>
      <c r="AD567" s="10"/>
      <c r="AE567" s="10"/>
      <c r="AF567" s="10"/>
      <c r="AG567" s="1742">
        <f>IF(AND($K565=TRUE,$K180=FALSE),AG565,IF(AND($K565=FALSE,$K180=TRUE),AG180,MAX(AG565,AG180)))</f>
        <v>0</v>
      </c>
      <c r="AH567" s="1742">
        <f>IF(AND($R565=TRUE,$R180=FALSE),AH565,IF(AND($R565=FALSE,$R180=TRUE),AH180,MAX(AH565,AH180)))</f>
        <v>4</v>
      </c>
      <c r="AI567" s="1742">
        <f>IF(AND($U565=TRUE,$U180=FALSE),AI565,IF(AND($U565=FALSE,$U180=TRUE),AI180,MAX(AI565,AI180)))</f>
        <v>0</v>
      </c>
      <c r="AJ567" s="1742">
        <f>IF(AND($K565=TRUE,$K180=FALSE),AJ565,IF(AND($K565=FALSE,$K180=TRUE),AJ180,MAX(AJ565,AJ180)))</f>
        <v>4</v>
      </c>
      <c r="AK567" s="1742">
        <f>IF(AND($K565=TRUE,$K180=FALSE),AK565,IF(AND($K565=FALSE,$K180=TRUE),AK180,MAX(AK565,AK180)))</f>
        <v>10</v>
      </c>
      <c r="AL567" s="1742">
        <f>IF(AND($R565=TRUE,$R180=FALSE),AL565,IF(AND($R565=FALSE,$R180=TRUE),AL180,MAX(AL565,AL180)))</f>
        <v>4</v>
      </c>
      <c r="AM567" s="1742">
        <f>IF(AND($R565=TRUE,$R180=FALSE),AM565,IF(AND($R565=FALSE,$R180=TRUE),AM180,MAX(AM565,AM180)))</f>
        <v>10</v>
      </c>
      <c r="AN567" s="1742">
        <f>IF(AND($U565=TRUE,$U180=FALSE),AN565,IF(AND($U565=FALSE,$U180=TRUE),AN180,MAX(AN565,AN180)))</f>
        <v>7</v>
      </c>
      <c r="AO567" s="1742">
        <f>IF(AND($U565=TRUE,$U180=FALSE),AO565,IF(AND($U565=FALSE,$U180=TRUE),AO180,MAX(AO565,AO180)))</f>
        <v>10</v>
      </c>
    </row>
    <row r="568" spans="1:41" ht="21" x14ac:dyDescent="0.25">
      <c r="B568" s="1700"/>
      <c r="W568" s="1376"/>
      <c r="X568" s="1377">
        <f>IF(AND(W567="V",W559="V"),X563-1,X563)</f>
        <v>0</v>
      </c>
      <c r="Y568" s="1376"/>
      <c r="Z568" s="1377">
        <f>IF(OR(Y559="V",Y562="V",Y567="V"),1,0)</f>
        <v>1</v>
      </c>
      <c r="AA568" s="1376"/>
      <c r="AB568" s="1377">
        <f>IF(AA559="V",1,IF(AA567="V",1,0))</f>
        <v>1</v>
      </c>
      <c r="AD568" s="10">
        <f>X568</f>
        <v>0</v>
      </c>
      <c r="AE568" s="10">
        <f>Z568</f>
        <v>1</v>
      </c>
      <c r="AF568" s="10">
        <f>AB568</f>
        <v>1</v>
      </c>
      <c r="AG568" s="1741">
        <f>IF($W567="F",AG563,AG563+AG567)</f>
        <v>0</v>
      </c>
      <c r="AH568" s="1741">
        <f>IF($Y567="F",AH563,AH563+AH567)</f>
        <v>14</v>
      </c>
      <c r="AI568" s="1741">
        <f>IF(AND($AA559="V",$AA567="F"),AI559,IF(AND($AA559="F",$AA567="V"),AI567,IF(AND($AA559="V",$AA567="V"),AI559+AI567,0)))</f>
        <v>10</v>
      </c>
      <c r="AJ568" s="1741">
        <f>IF($W567="F",AJ563,AJ563+AJ567)</f>
        <v>0</v>
      </c>
      <c r="AK568" s="1741">
        <f t="shared" ref="AK568" si="1184">IF($W567="F",AK563,AK563+AK567)</f>
        <v>0</v>
      </c>
      <c r="AL568" s="1741">
        <f t="shared" ref="AL568" si="1185">IF($Y567="F",AL563,AL563+AL567)</f>
        <v>8</v>
      </c>
      <c r="AM568" s="1741">
        <f t="shared" ref="AM568" si="1186">IF($Y567="F",AM563,AM563+AM567)</f>
        <v>20</v>
      </c>
      <c r="AN568" s="1741">
        <f t="shared" ref="AN568" si="1187">IF(AND($AA559="V",$AA567="F"),AN559,IF(AND($AA559="F",$AA567="V"),AN567,IF(AND($AA559="V",$AA567="V"),AN559+AN567,0)))</f>
        <v>4</v>
      </c>
      <c r="AO568" s="1741">
        <f t="shared" ref="AO568" si="1188">IF(AND($AA559="V",$AA567="F"),AO559,IF(AND($AA559="F",$AA567="V"),AO567,IF(AND($AA559="V",$AA567="V"),AO559+AO567,0)))</f>
        <v>10</v>
      </c>
    </row>
    <row r="569" spans="1:41" x14ac:dyDescent="0.3">
      <c r="W569" s="1387"/>
      <c r="X569" s="1388"/>
      <c r="Y569" s="1231"/>
      <c r="AD569" s="10"/>
      <c r="AE569" s="10"/>
      <c r="AF569" s="10"/>
    </row>
    <row r="570" spans="1:41" x14ac:dyDescent="0.3">
      <c r="E570" s="85" t="s">
        <v>268</v>
      </c>
      <c r="F570" s="2593" t="s">
        <v>254</v>
      </c>
      <c r="G570" s="2593"/>
      <c r="H570" s="2593"/>
      <c r="I570" s="2593"/>
      <c r="J570" s="2593"/>
      <c r="K570" s="703"/>
      <c r="L570" s="2594"/>
      <c r="M570" s="2594"/>
      <c r="N570" s="2594"/>
      <c r="O570" s="703"/>
      <c r="P570" s="703"/>
      <c r="Q570" s="703"/>
      <c r="R570" s="703"/>
      <c r="S570" s="703"/>
      <c r="T570" s="703"/>
      <c r="U570" s="703"/>
      <c r="V570" s="73"/>
      <c r="AD570" s="10"/>
      <c r="AE570" s="10"/>
      <c r="AF570" s="10"/>
    </row>
    <row r="571" spans="1:41" x14ac:dyDescent="0.3">
      <c r="B571" s="1699">
        <v>2</v>
      </c>
      <c r="D571" s="441" t="e">
        <f>'Cpts AR +indép + Sommaire'!B87</f>
        <v>#REF!</v>
      </c>
      <c r="E571" s="84"/>
      <c r="F571" s="50"/>
      <c r="G571" s="18"/>
      <c r="H571" s="18"/>
      <c r="I571" s="2595" t="s">
        <v>604</v>
      </c>
      <c r="J571" s="2596"/>
      <c r="K571" s="2596"/>
      <c r="L571" s="2597" t="s">
        <v>1086</v>
      </c>
      <c r="M571" s="2597"/>
      <c r="N571" s="2597"/>
      <c r="O571" s="2598"/>
      <c r="P571" s="2599" t="s">
        <v>603</v>
      </c>
      <c r="Q571" s="2600"/>
      <c r="R571" s="2601"/>
      <c r="S571" s="2590" t="s">
        <v>605</v>
      </c>
      <c r="T571" s="2591"/>
      <c r="U571" s="2592"/>
      <c r="V571" s="15"/>
      <c r="W571" s="817"/>
      <c r="X571" s="817"/>
      <c r="Y571" s="817"/>
      <c r="Z571" s="817"/>
      <c r="AA571" s="817"/>
      <c r="AB571" s="818"/>
      <c r="AD571" s="10"/>
      <c r="AE571" s="10"/>
      <c r="AF571" s="10"/>
      <c r="AG571" s="1386" t="s">
        <v>604</v>
      </c>
      <c r="AH571" s="1386" t="s">
        <v>603</v>
      </c>
      <c r="AI571" s="1386" t="s">
        <v>605</v>
      </c>
      <c r="AJ571" s="2589" t="s">
        <v>604</v>
      </c>
      <c r="AK571" s="2589"/>
      <c r="AL571" s="2589" t="s">
        <v>603</v>
      </c>
      <c r="AM571" s="2589"/>
      <c r="AN571" s="2589" t="s">
        <v>605</v>
      </c>
      <c r="AO571" s="2589"/>
    </row>
    <row r="572" spans="1:41" ht="34" x14ac:dyDescent="0.2">
      <c r="B572" s="1700"/>
      <c r="D572" s="79" t="s">
        <v>779</v>
      </c>
      <c r="E572" s="835"/>
      <c r="F572" s="26" t="s">
        <v>226</v>
      </c>
      <c r="G572" s="26" t="s">
        <v>22</v>
      </c>
      <c r="H572" s="26" t="s">
        <v>612</v>
      </c>
      <c r="I572" s="1348" t="s">
        <v>269</v>
      </c>
      <c r="J572" s="29" t="s">
        <v>270</v>
      </c>
      <c r="K572" s="29" t="s">
        <v>271</v>
      </c>
      <c r="L572" s="29" t="s">
        <v>363</v>
      </c>
      <c r="M572" s="29" t="s">
        <v>339</v>
      </c>
      <c r="N572" s="29" t="s">
        <v>340</v>
      </c>
      <c r="O572" s="1349" t="s">
        <v>341</v>
      </c>
      <c r="P572" s="1348" t="s">
        <v>269</v>
      </c>
      <c r="Q572" s="29" t="s">
        <v>270</v>
      </c>
      <c r="R572" s="1349" t="s">
        <v>271</v>
      </c>
      <c r="S572" s="1348" t="s">
        <v>269</v>
      </c>
      <c r="T572" s="29" t="s">
        <v>270</v>
      </c>
      <c r="U572" s="1349" t="s">
        <v>271</v>
      </c>
      <c r="V572" s="736"/>
      <c r="W572" s="827" t="s">
        <v>604</v>
      </c>
      <c r="X572" s="828" t="s">
        <v>754</v>
      </c>
      <c r="Y572" s="827" t="s">
        <v>603</v>
      </c>
      <c r="Z572" s="828" t="s">
        <v>755</v>
      </c>
      <c r="AA572" s="827" t="s">
        <v>605</v>
      </c>
      <c r="AB572" s="828" t="s">
        <v>756</v>
      </c>
      <c r="AD572" s="10"/>
      <c r="AE572" s="10"/>
      <c r="AF572" s="10"/>
      <c r="AG572" s="10"/>
      <c r="AH572" s="10"/>
      <c r="AI572" s="10"/>
      <c r="AJ572" s="1490" t="s">
        <v>1058</v>
      </c>
      <c r="AK572" s="1490" t="s">
        <v>1059</v>
      </c>
      <c r="AL572" s="1490" t="s">
        <v>1058</v>
      </c>
      <c r="AM572" s="1490" t="s">
        <v>1059</v>
      </c>
      <c r="AN572" s="1490" t="s">
        <v>1058</v>
      </c>
      <c r="AO572" s="1490" t="s">
        <v>1059</v>
      </c>
    </row>
    <row r="573" spans="1:41" ht="51" x14ac:dyDescent="0.2">
      <c r="A573" t="str">
        <f>IF(Test_Bible!B207="","F","O")</f>
        <v>O</v>
      </c>
      <c r="B573" s="1700" t="e">
        <f>#REF!</f>
        <v>#REF!</v>
      </c>
      <c r="C573" s="379" t="str">
        <f>'Cpts AR +indép + Sommaire'!C87</f>
        <v>PFA22</v>
      </c>
      <c r="D573" s="25" t="str">
        <f>'Cpts AR +indép + Sommaire'!D87</f>
        <v>Dans quelle mesure diriez-vous que l'autre parent accepte ou vit bien avec les exigences de la coparentalité (logistique horaire, transport, vacances, etc.) ?</v>
      </c>
      <c r="E573" s="78"/>
      <c r="F573" s="709">
        <f>'Cpts AR +indép + Sommaire'!E87</f>
        <v>10</v>
      </c>
      <c r="G573" s="709">
        <f>'Cpts AR +indép + Sommaire'!F87</f>
        <v>1</v>
      </c>
      <c r="H573" s="709">
        <f>F573*G573</f>
        <v>10</v>
      </c>
      <c r="I573" s="1374">
        <v>11</v>
      </c>
      <c r="J573" s="1375">
        <v>11</v>
      </c>
      <c r="K573" s="31" t="b">
        <f>IF(AND(F573&gt;=I573,F573&lt;=J573),TRUE,FALSE)</f>
        <v>0</v>
      </c>
      <c r="L573" s="31"/>
      <c r="M573" s="31"/>
      <c r="N573" s="31"/>
      <c r="O573" s="1351"/>
      <c r="P573" s="1374">
        <v>11</v>
      </c>
      <c r="Q573" s="1375">
        <v>11</v>
      </c>
      <c r="R573" s="1351" t="b">
        <f>IF(AND(F573&gt;=P573,F573&lt;=Q573),TRUE,FALSE)</f>
        <v>0</v>
      </c>
      <c r="S573" s="1350">
        <v>7</v>
      </c>
      <c r="T573" s="1343">
        <v>10</v>
      </c>
      <c r="U573" s="1351" t="b">
        <f>IF(AND(F573&gt;=S573,F573&lt;=T573),TRUE,FALSE)</f>
        <v>1</v>
      </c>
      <c r="V573" s="1327"/>
      <c r="W573" s="819"/>
      <c r="X573" s="820"/>
      <c r="Y573" s="819"/>
      <c r="Z573" s="820"/>
      <c r="AA573" s="819"/>
      <c r="AB573" s="820"/>
      <c r="AD573" s="10"/>
      <c r="AE573" s="10"/>
      <c r="AF573" s="10"/>
      <c r="AG573" s="832">
        <f>IF($K573=TRUE,H573,0)</f>
        <v>0</v>
      </c>
      <c r="AH573" s="832">
        <f>IF($R573=TRUE,H573,0)</f>
        <v>0</v>
      </c>
      <c r="AI573" s="832">
        <f>IF($U573=TRUE,H573,0)</f>
        <v>10</v>
      </c>
      <c r="AJ573" s="1490">
        <f t="shared" ref="AJ573:AJ574" si="1189">IF(OR(I573=11,A573="F"),0,G573*I573)</f>
        <v>0</v>
      </c>
      <c r="AK573" s="1490">
        <f t="shared" ref="AK573:AK574" si="1190">IF(OR(J573=11,A573="F"),0,G573*J573)</f>
        <v>0</v>
      </c>
      <c r="AL573" s="1490">
        <f t="shared" ref="AL573:AL574" si="1191">IF(OR(P573=11,A573="F"),0,G573*P573)</f>
        <v>0</v>
      </c>
      <c r="AM573" s="1490">
        <f t="shared" ref="AM573:AM574" si="1192">IF(OR(Q573=11,A573="F"),0,G573*Q573)</f>
        <v>0</v>
      </c>
      <c r="AN573" s="1490">
        <f t="shared" ref="AN573:AN574" si="1193">IF(OR(S573=11,A573="F"),0,S573*G573)</f>
        <v>7</v>
      </c>
      <c r="AO573" s="1490">
        <f t="shared" ref="AO573:AO574" si="1194">IF(OR(T573=11,A573="F"),0,T573*G573)</f>
        <v>10</v>
      </c>
    </row>
    <row r="574" spans="1:41" ht="16" x14ac:dyDescent="0.2">
      <c r="B574" s="1700"/>
      <c r="C574" s="379"/>
      <c r="D574" s="25"/>
      <c r="E574" s="78"/>
      <c r="F574" s="709"/>
      <c r="G574" s="708"/>
      <c r="H574" s="709">
        <f>F574*G574</f>
        <v>0</v>
      </c>
      <c r="I574" s="1374">
        <v>11</v>
      </c>
      <c r="J574" s="1375">
        <v>11</v>
      </c>
      <c r="K574" s="31" t="b">
        <f>IF(AND(F574&gt;=I574,F574&lt;=J574),TRUE,FALSE)</f>
        <v>0</v>
      </c>
      <c r="L574" s="31"/>
      <c r="M574" s="31"/>
      <c r="N574" s="31"/>
      <c r="O574" s="1351"/>
      <c r="P574" s="1374">
        <v>11</v>
      </c>
      <c r="Q574" s="1375">
        <v>11</v>
      </c>
      <c r="R574" s="1351" t="b">
        <f>IF(AND(F574&gt;=P574,F574&lt;=Q574),TRUE,FALSE)</f>
        <v>0</v>
      </c>
      <c r="S574" s="1374">
        <v>11</v>
      </c>
      <c r="T574" s="1375">
        <v>11</v>
      </c>
      <c r="U574" s="1351" t="b">
        <f>IF(AND(F574&gt;=S574,F574&lt;=T574),TRUE,FALSE)</f>
        <v>0</v>
      </c>
      <c r="V574" s="807"/>
      <c r="W574" s="821"/>
      <c r="X574" s="822"/>
      <c r="Y574" s="821"/>
      <c r="Z574" s="822"/>
      <c r="AA574" s="821"/>
      <c r="AB574" s="822"/>
      <c r="AD574" s="10"/>
      <c r="AE574" s="10"/>
      <c r="AF574" s="10"/>
      <c r="AG574" s="832">
        <f>IF($K574=TRUE,H574,0)</f>
        <v>0</v>
      </c>
      <c r="AH574" s="832">
        <f>IF($R574=TRUE,H574,0)</f>
        <v>0</v>
      </c>
      <c r="AI574" s="832">
        <f>IF($U574=TRUE,H574,0)</f>
        <v>0</v>
      </c>
      <c r="AJ574" s="1490">
        <f t="shared" si="1189"/>
        <v>0</v>
      </c>
      <c r="AK574" s="1490">
        <f t="shared" si="1190"/>
        <v>0</v>
      </c>
      <c r="AL574" s="1490">
        <f t="shared" si="1191"/>
        <v>0</v>
      </c>
      <c r="AM574" s="1490">
        <f t="shared" si="1192"/>
        <v>0</v>
      </c>
      <c r="AN574" s="1490">
        <f t="shared" si="1193"/>
        <v>0</v>
      </c>
      <c r="AO574" s="1490">
        <f t="shared" si="1194"/>
        <v>0</v>
      </c>
    </row>
    <row r="575" spans="1:41" ht="51" x14ac:dyDescent="0.2">
      <c r="B575" s="1700"/>
      <c r="C575" s="710" t="s">
        <v>609</v>
      </c>
      <c r="D575" s="711" t="str">
        <f>_xlfn.XLOOKUP(H575,H573:H574,D573:D574)</f>
        <v>Dans quelle mesure diriez-vous que l'autre parent accepte ou vit bien avec les exigences de la coparentalité (logistique horaire, transport, vacances, etc.) ?</v>
      </c>
      <c r="E575" s="712"/>
      <c r="F575" s="713"/>
      <c r="G575" s="713"/>
      <c r="H575" s="713">
        <f>IF(AND(K573=TRUE,K574=FALSE),H573,IF(AND(K573=FALSE,K574=TRUE),H574,MAX(H573,H574)))</f>
        <v>10</v>
      </c>
      <c r="I575" s="1352"/>
      <c r="J575" s="714"/>
      <c r="K575" s="715" t="b">
        <f>IF(AND(K573=FALSE,K574=FALSE),FALSE,TRUE)</f>
        <v>0</v>
      </c>
      <c r="L575" s="31"/>
      <c r="M575" s="31"/>
      <c r="N575" s="31"/>
      <c r="O575" s="1351"/>
      <c r="P575" s="1352"/>
      <c r="Q575" s="714"/>
      <c r="R575" s="1365" t="b">
        <f>IF(AND(R573=FALSE,R574=FALSE),FALSE,TRUE)</f>
        <v>0</v>
      </c>
      <c r="S575" s="1352"/>
      <c r="T575" s="714"/>
      <c r="U575" s="1365" t="b">
        <f>IF(AND(U573=FALSE,U574=FALSE),FALSE,TRUE)</f>
        <v>1</v>
      </c>
      <c r="V575" s="807"/>
      <c r="W575" s="821"/>
      <c r="X575" s="822"/>
      <c r="Y575" s="821"/>
      <c r="Z575" s="822"/>
      <c r="AA575" s="821"/>
      <c r="AB575" s="822"/>
      <c r="AD575" s="10"/>
      <c r="AE575" s="10"/>
      <c r="AF575" s="10"/>
      <c r="AG575" s="1740">
        <f>IF($K575=TRUE,MAX(AG573:AG574),0)</f>
        <v>0</v>
      </c>
      <c r="AH575" s="1740">
        <f>IF($R575=TRUE,MAX(AH573:AH574),0)</f>
        <v>0</v>
      </c>
      <c r="AI575" s="1740">
        <f>IF($U575=TRUE,MAX(AI573:AI574),0)</f>
        <v>10</v>
      </c>
      <c r="AJ575" s="1739">
        <f>MAX(AJ573:AJ574)</f>
        <v>0</v>
      </c>
      <c r="AK575" s="1739">
        <f t="shared" ref="AK575" si="1195">MAX(AK573:AK574)</f>
        <v>0</v>
      </c>
      <c r="AL575" s="1739">
        <f t="shared" ref="AL575" si="1196">MAX(AL573:AL574)</f>
        <v>0</v>
      </c>
      <c r="AM575" s="1739">
        <f t="shared" ref="AM575" si="1197">MAX(AM573:AM574)</f>
        <v>0</v>
      </c>
      <c r="AN575" s="1739">
        <f t="shared" ref="AN575" si="1198">MAX(AN573:AN574)</f>
        <v>7</v>
      </c>
      <c r="AO575" s="1739">
        <f t="shared" ref="AO575" si="1199">MAX(AO573:AO574)</f>
        <v>10</v>
      </c>
    </row>
    <row r="576" spans="1:41" ht="16" x14ac:dyDescent="0.2">
      <c r="B576" s="1700"/>
      <c r="C576" s="38"/>
      <c r="D576" s="25"/>
      <c r="E576" s="78"/>
      <c r="F576" s="709"/>
      <c r="G576" s="708"/>
      <c r="H576" s="709">
        <f>F576*G576</f>
        <v>0</v>
      </c>
      <c r="I576" s="1374">
        <v>11</v>
      </c>
      <c r="J576" s="1375">
        <v>11</v>
      </c>
      <c r="K576" s="31" t="b">
        <f>IF(AND(F576&gt;=I576,F576&lt;=J576),TRUE,FALSE)</f>
        <v>0</v>
      </c>
      <c r="L576" s="31"/>
      <c r="M576" s="31"/>
      <c r="N576" s="31"/>
      <c r="O576" s="1351"/>
      <c r="P576" s="1374">
        <v>11</v>
      </c>
      <c r="Q576" s="1375">
        <v>11</v>
      </c>
      <c r="R576" s="1351" t="b">
        <f>IF(AND(F576&gt;=P576,F576&lt;=Q576),TRUE,FALSE)</f>
        <v>0</v>
      </c>
      <c r="S576" s="1374">
        <v>11</v>
      </c>
      <c r="T576" s="1375">
        <v>11</v>
      </c>
      <c r="U576" s="1351" t="b">
        <f>IF(AND(F576&gt;=S576,F576&lt;=T576),TRUE,FALSE)</f>
        <v>0</v>
      </c>
      <c r="V576" s="807"/>
      <c r="W576" s="821"/>
      <c r="X576" s="822"/>
      <c r="Y576" s="821"/>
      <c r="Z576" s="822"/>
      <c r="AA576" s="821"/>
      <c r="AB576" s="822"/>
      <c r="AD576" s="10"/>
      <c r="AE576" s="10"/>
      <c r="AF576" s="10"/>
      <c r="AG576" s="832">
        <f>IF(K576=TRUE,H576,0)</f>
        <v>0</v>
      </c>
      <c r="AH576" s="832">
        <f>IF(R576=TRUE,H576,0)</f>
        <v>0</v>
      </c>
      <c r="AI576" s="832">
        <f>IF(U576=TRUE,H576,0)</f>
        <v>0</v>
      </c>
      <c r="AJ576" s="1490">
        <f t="shared" ref="AJ576:AJ577" si="1200">IF(OR(I576=11,A576="F"),0,G576*I576)</f>
        <v>0</v>
      </c>
      <c r="AK576" s="1490">
        <f t="shared" ref="AK576:AK577" si="1201">IF(OR(J576=11,A576="F"),0,G576*J576)</f>
        <v>0</v>
      </c>
      <c r="AL576" s="1490">
        <f t="shared" ref="AL576:AL577" si="1202">IF(OR(P576=11,A576="F"),0,G576*P576)</f>
        <v>0</v>
      </c>
      <c r="AM576" s="1490">
        <f t="shared" ref="AM576:AM577" si="1203">IF(OR(Q576=11,A576="F"),0,G576*Q576)</f>
        <v>0</v>
      </c>
      <c r="AN576" s="1490">
        <f t="shared" ref="AN576:AN577" si="1204">IF(OR(S576=11,A576="F"),0,S576*G576)</f>
        <v>0</v>
      </c>
      <c r="AO576" s="1490">
        <f t="shared" ref="AO576:AO577" si="1205">IF(OR(T576=11,A576="F"),0,T576*G576)</f>
        <v>0</v>
      </c>
    </row>
    <row r="577" spans="1:41" ht="16" x14ac:dyDescent="0.2">
      <c r="B577" s="1700"/>
      <c r="C577" s="38"/>
      <c r="D577" s="25"/>
      <c r="E577" s="48"/>
      <c r="F577" s="27"/>
      <c r="G577" s="27"/>
      <c r="H577" s="27">
        <f>F577*G577</f>
        <v>0</v>
      </c>
      <c r="I577" s="1374">
        <v>11</v>
      </c>
      <c r="J577" s="1375">
        <v>11</v>
      </c>
      <c r="K577" s="31" t="b">
        <f>IF(AND(F577&gt;=I577,F577&lt;=J577),TRUE,FALSE)</f>
        <v>0</v>
      </c>
      <c r="L577" s="31"/>
      <c r="M577" s="31"/>
      <c r="N577" s="31"/>
      <c r="O577" s="1351"/>
      <c r="P577" s="1374">
        <v>11</v>
      </c>
      <c r="Q577" s="1375">
        <v>11</v>
      </c>
      <c r="R577" s="1351" t="b">
        <f>IF(AND(F577&gt;=P577,F577&lt;=Q577),TRUE,FALSE)</f>
        <v>0</v>
      </c>
      <c r="S577" s="1374">
        <v>11</v>
      </c>
      <c r="T577" s="1375">
        <v>11</v>
      </c>
      <c r="U577" s="1351" t="b">
        <f>IF(AND(F577&gt;=S577,F577&lt;=T577),TRUE,FALSE)</f>
        <v>0</v>
      </c>
      <c r="V577" s="807"/>
      <c r="W577" s="821"/>
      <c r="X577" s="822"/>
      <c r="Y577" s="821"/>
      <c r="Z577" s="822"/>
      <c r="AA577" s="821"/>
      <c r="AB577" s="822"/>
      <c r="AD577" s="10"/>
      <c r="AE577" s="10"/>
      <c r="AF577" s="10"/>
      <c r="AG577" s="832">
        <f>IF(K577=TRUE,H577,0)</f>
        <v>0</v>
      </c>
      <c r="AH577" s="832">
        <f>IF(R577=TRUE,H577,0)</f>
        <v>0</v>
      </c>
      <c r="AI577" s="832">
        <f>IF(U577=TRUE,H577,0)</f>
        <v>0</v>
      </c>
      <c r="AJ577" s="1490">
        <f t="shared" si="1200"/>
        <v>0</v>
      </c>
      <c r="AK577" s="1490">
        <f t="shared" si="1201"/>
        <v>0</v>
      </c>
      <c r="AL577" s="1490">
        <f t="shared" si="1202"/>
        <v>0</v>
      </c>
      <c r="AM577" s="1490">
        <f t="shared" si="1203"/>
        <v>0</v>
      </c>
      <c r="AN577" s="1490">
        <f t="shared" si="1204"/>
        <v>0</v>
      </c>
      <c r="AO577" s="1490">
        <f t="shared" si="1205"/>
        <v>0</v>
      </c>
    </row>
    <row r="578" spans="1:41" ht="17" thickBot="1" x14ac:dyDescent="0.25">
      <c r="B578" s="1700"/>
      <c r="C578" s="716" t="s">
        <v>610</v>
      </c>
      <c r="D578" s="717">
        <f>_xlfn.XLOOKUP(H578,H576:H577,D576:D577)</f>
        <v>0</v>
      </c>
      <c r="E578" s="718"/>
      <c r="F578" s="719"/>
      <c r="G578" s="719"/>
      <c r="H578" s="713">
        <f>IF(AND(K576=TRUE,K577=FALSE),H576,IF(AND(K576=FALSE,K577=TRUE),H577,MAX(H576,H577)))</f>
        <v>0</v>
      </c>
      <c r="I578" s="1353"/>
      <c r="J578" s="720"/>
      <c r="K578" s="721" t="b">
        <f>IF(AND(K576=FALSE,K577=FALSE),FALSE,TRUE)</f>
        <v>0</v>
      </c>
      <c r="L578" s="31"/>
      <c r="M578" s="31"/>
      <c r="N578" s="31"/>
      <c r="O578" s="1351"/>
      <c r="P578" s="1353"/>
      <c r="Q578" s="720"/>
      <c r="R578" s="1366" t="b">
        <f>IF(AND(R576=FALSE,R577=FALSE),FALSE,TRUE)</f>
        <v>0</v>
      </c>
      <c r="S578" s="1353"/>
      <c r="T578" s="720"/>
      <c r="U578" s="1366" t="b">
        <f>IF(AND(U576=FALSE,U577=FALSE),FALSE,TRUE)</f>
        <v>0</v>
      </c>
      <c r="V578" s="807"/>
      <c r="W578" s="821"/>
      <c r="X578" s="822"/>
      <c r="Y578" s="821"/>
      <c r="Z578" s="822"/>
      <c r="AA578" s="821"/>
      <c r="AB578" s="822"/>
      <c r="AD578" s="10"/>
      <c r="AE578" s="10"/>
      <c r="AF578" s="10"/>
      <c r="AG578" s="1740">
        <f>IF($K578=TRUE,MAX(AG576:AG577),0)</f>
        <v>0</v>
      </c>
      <c r="AH578" s="1740">
        <f>IF($R578=TRUE,MAX(AH576:AH577),0)</f>
        <v>0</v>
      </c>
      <c r="AI578" s="1740">
        <f>IF($U578=TRUE,MAX(AI576:AI577),0)</f>
        <v>0</v>
      </c>
      <c r="AJ578" s="1739">
        <f>MAX(AJ576:AJ577)</f>
        <v>0</v>
      </c>
      <c r="AK578" s="1739">
        <f t="shared" ref="AK578" si="1206">MAX(AK576:AK577)</f>
        <v>0</v>
      </c>
      <c r="AL578" s="1739">
        <f t="shared" ref="AL578" si="1207">MAX(AL576:AL577)</f>
        <v>0</v>
      </c>
      <c r="AM578" s="1739">
        <f t="shared" ref="AM578" si="1208">MAX(AM576:AM577)</f>
        <v>0</v>
      </c>
      <c r="AN578" s="1739">
        <f t="shared" ref="AN578" si="1209">MAX(AN576:AN577)</f>
        <v>0</v>
      </c>
      <c r="AO578" s="1739">
        <f t="shared" ref="AO578" si="1210">MAX(AO576:AO577)</f>
        <v>0</v>
      </c>
    </row>
    <row r="579" spans="1:41" ht="35" thickBot="1" x14ac:dyDescent="0.25">
      <c r="B579" s="1700"/>
      <c r="C579" s="722" t="s">
        <v>616</v>
      </c>
      <c r="D579" s="723"/>
      <c r="E579" s="723"/>
      <c r="F579" s="724"/>
      <c r="G579" s="724"/>
      <c r="H579" s="724">
        <f>IF(AND(K575=TRUE,K578=FALSE),H575,IF(AND(K575=FALSE,K578=TRUE),H578,IF(AND(K575=TRUE,K578=TRUE),H575+H578,MAX(H575,H578))))</f>
        <v>10</v>
      </c>
      <c r="I579" s="1354"/>
      <c r="J579" s="725"/>
      <c r="K579" s="726" t="b">
        <f>IF(AND(K575=FALSE,K578=FALSE),FALSE,TRUE)</f>
        <v>0</v>
      </c>
      <c r="L579" s="1338"/>
      <c r="M579" s="1338"/>
      <c r="N579" s="1338"/>
      <c r="O579" s="1355"/>
      <c r="P579" s="1354"/>
      <c r="Q579" s="725"/>
      <c r="R579" s="726" t="b">
        <f>IF(AND(R575=FALSE,R578=FALSE),FALSE,TRUE)</f>
        <v>0</v>
      </c>
      <c r="S579" s="1354"/>
      <c r="T579" s="725"/>
      <c r="U579" s="726" t="b">
        <f>IF(AND(U575=FALSE,U578=FALSE),FALSE,TRUE)</f>
        <v>1</v>
      </c>
      <c r="V579" s="807"/>
      <c r="W579" s="821" t="str">
        <f>IF(K579=TRUE,"V","F")</f>
        <v>F</v>
      </c>
      <c r="X579" s="822"/>
      <c r="Y579" s="821" t="str">
        <f>IF(R579=TRUE,"V","F")</f>
        <v>F</v>
      </c>
      <c r="Z579" s="822"/>
      <c r="AA579" s="821" t="str">
        <f>IF(U579=TRUE,"V","F")</f>
        <v>V</v>
      </c>
      <c r="AB579" s="822"/>
      <c r="AD579" s="10"/>
      <c r="AE579" s="10"/>
      <c r="AF579" s="10"/>
      <c r="AG579" s="591">
        <f>IF(AND($K575=TRUE,$K578=FALSE),AG575,IF(AND($K575=FALSE,$K578=TRUE),AG578,IF(AND($K575=TRUE,$K578=TRUE),AG575+AG578,0)))</f>
        <v>0</v>
      </c>
      <c r="AH579" s="591">
        <f>IF(AND($R575=TRUE,$R578=FALSE),AH575,IF(AND($R575=FALSE,$R578=TRUE),AH578,IF(AND($R575=TRUE,$R578=TRUE),AH575+AH578,0)))</f>
        <v>0</v>
      </c>
      <c r="AI579" s="591">
        <f>IF(AND($U575=TRUE,$U578=FALSE),AI575,IF(AND($U575=FALSE,$U578=TRUE),AI578,IF(AND($U575=TRUE,$U578=TRUE),AI575+AI578,0)))</f>
        <v>10</v>
      </c>
      <c r="AJ579" s="591">
        <f>IF(AND($K575=TRUE,$K578=FALSE),AJ575,IF(AND($K575=FALSE,$K578=TRUE),AJ578,IF(AND($K575=TRUE,$K578=TRUE),AJ575+AJ578,MAX(AJ575,AJ578))))</f>
        <v>0</v>
      </c>
      <c r="AK579" s="591">
        <f>IF(AND($K575=TRUE,$K578=FALSE),AK575,IF(AND($K575=FALSE,$K578=TRUE),AK578,IF(AND($K575=TRUE,$K578=TRUE),AK575+AK578,MAX(AK575,AK578))))</f>
        <v>0</v>
      </c>
      <c r="AL579" s="591">
        <f t="shared" ref="AL579" si="1211">IF(AND($R575=TRUE,$R578=FALSE),AL575,IF(AND($R575=FALSE,$R578=TRUE),AL578,IF(AND($R575=TRUE,$R578=TRUE),AL575+AL578,MAX(AL575,AL578))))</f>
        <v>0</v>
      </c>
      <c r="AM579" s="591">
        <f t="shared" ref="AM579" si="1212">IF(AND($R575=TRUE,$R578=FALSE),AM575,IF(AND($R575=FALSE,$R578=TRUE),AM578,IF(AND($R575=TRUE,$R578=TRUE),AM575+AM578,MAX(AM575,AM578))))</f>
        <v>0</v>
      </c>
      <c r="AN579" s="591">
        <f t="shared" ref="AN579" si="1213">IF(AND($U575=TRUE,$U578=FALSE),AN575,IF(AND($U575=FALSE,$U578=TRUE),AN578,IF(AND($U575=TRUE,$U578=TRUE),AN575+AN578,MAX(AN575,AN578))))</f>
        <v>7</v>
      </c>
      <c r="AO579" s="591">
        <f t="shared" ref="AO579" si="1214">IF(AND($U575=TRUE,$U578=FALSE),AO575,IF(AND($U575=FALSE,$U578=TRUE),AO578,IF(AND($U575=TRUE,$U578=TRUE),AO575+AO578,MAX(AO575,AO578))))</f>
        <v>10</v>
      </c>
    </row>
    <row r="580" spans="1:41" ht="21" x14ac:dyDescent="0.2">
      <c r="B580" s="1700"/>
      <c r="C580" s="287"/>
      <c r="D580" s="25"/>
      <c r="E580" s="48"/>
      <c r="F580" s="709"/>
      <c r="G580" s="708"/>
      <c r="H580" s="709">
        <f>F580*G580</f>
        <v>0</v>
      </c>
      <c r="I580" s="1374"/>
      <c r="J580" s="1375"/>
      <c r="K580" s="31"/>
      <c r="L580" s="31"/>
      <c r="M580" s="31"/>
      <c r="N580" s="31"/>
      <c r="O580" s="1351"/>
      <c r="P580" s="1374"/>
      <c r="Q580" s="1375"/>
      <c r="R580" s="1351"/>
      <c r="S580" s="1350"/>
      <c r="T580" s="1343"/>
      <c r="U580" s="1351"/>
      <c r="V580" s="807"/>
      <c r="W580" s="821" t="s">
        <v>753</v>
      </c>
      <c r="X580" s="822"/>
      <c r="Y580" s="821"/>
      <c r="Z580" s="822"/>
      <c r="AA580" s="821"/>
      <c r="AB580" s="822"/>
      <c r="AD580" s="10"/>
      <c r="AE580" s="10"/>
      <c r="AF580" s="10"/>
      <c r="AG580" s="832">
        <f>IF($K580=TRUE,H580,0)</f>
        <v>0</v>
      </c>
      <c r="AH580" s="832">
        <f>IF($R580=TRUE,H580,0)</f>
        <v>0</v>
      </c>
      <c r="AI580" s="832"/>
      <c r="AJ580" s="1490">
        <f t="shared" ref="AJ580:AJ581" si="1215">IF(OR(I580=11,A580="F"),0,G580*I580)</f>
        <v>0</v>
      </c>
      <c r="AK580" s="1490">
        <f t="shared" ref="AK580:AK581" si="1216">IF(OR(J580=11,A580="F"),0,G580*J580)</f>
        <v>0</v>
      </c>
      <c r="AL580" s="1490">
        <f t="shared" ref="AL580:AL581" si="1217">IF(OR(P580=11,A580="F"),0,G580*P580)</f>
        <v>0</v>
      </c>
      <c r="AM580" s="1490">
        <f t="shared" ref="AM580:AM581" si="1218">IF(OR(Q580=11,A580="F"),0,G580*Q580)</f>
        <v>0</v>
      </c>
      <c r="AN580" s="1490">
        <f t="shared" ref="AN580:AN581" si="1219">IF(OR(S580=11,A580="F"),0,S580*G580)</f>
        <v>0</v>
      </c>
      <c r="AO580" s="1490">
        <f t="shared" ref="AO580:AO581" si="1220">IF(OR(T580=11,A580="F"),0,T580*G580)</f>
        <v>0</v>
      </c>
    </row>
    <row r="581" spans="1:41" ht="17" thickBot="1" x14ac:dyDescent="0.25">
      <c r="B581" s="1700"/>
      <c r="C581" s="287"/>
      <c r="D581" s="698"/>
      <c r="E581" s="48"/>
      <c r="F581" s="709"/>
      <c r="G581" s="708"/>
      <c r="H581" s="709">
        <f>F581*G581</f>
        <v>0</v>
      </c>
      <c r="I581" s="1374"/>
      <c r="J581" s="1375"/>
      <c r="K581" s="31"/>
      <c r="L581" s="31"/>
      <c r="M581" s="31"/>
      <c r="N581" s="31"/>
      <c r="O581" s="1351"/>
      <c r="P581" s="1374"/>
      <c r="Q581" s="1375"/>
      <c r="R581" s="1351"/>
      <c r="S581" s="1374"/>
      <c r="T581" s="1375"/>
      <c r="U581" s="1351"/>
      <c r="V581" s="807"/>
      <c r="W581" s="821"/>
      <c r="X581" s="822"/>
      <c r="Y581" s="821"/>
      <c r="Z581" s="822"/>
      <c r="AA581" s="821"/>
      <c r="AB581" s="822"/>
      <c r="AD581" s="10"/>
      <c r="AE581" s="10"/>
      <c r="AF581" s="10"/>
      <c r="AG581" s="832">
        <f>IF($K581=TRUE,H581,0)</f>
        <v>0</v>
      </c>
      <c r="AH581" s="832">
        <f>IF($R581=TRUE,H581,0)</f>
        <v>0</v>
      </c>
      <c r="AI581" s="832"/>
      <c r="AJ581" s="1490">
        <f t="shared" si="1215"/>
        <v>0</v>
      </c>
      <c r="AK581" s="1490">
        <f t="shared" si="1216"/>
        <v>0</v>
      </c>
      <c r="AL581" s="1490">
        <f t="shared" si="1217"/>
        <v>0</v>
      </c>
      <c r="AM581" s="1490">
        <f t="shared" si="1218"/>
        <v>0</v>
      </c>
      <c r="AN581" s="1490">
        <f t="shared" si="1219"/>
        <v>0</v>
      </c>
      <c r="AO581" s="1490">
        <f t="shared" si="1220"/>
        <v>0</v>
      </c>
    </row>
    <row r="582" spans="1:41" ht="17" thickBot="1" x14ac:dyDescent="0.25">
      <c r="B582" s="1700"/>
      <c r="C582" s="727" t="s">
        <v>611</v>
      </c>
      <c r="D582" s="728">
        <f>_xlfn.XLOOKUP(H582,H580:H581,D580:D581)</f>
        <v>0</v>
      </c>
      <c r="E582" s="728"/>
      <c r="F582" s="729"/>
      <c r="G582" s="729"/>
      <c r="H582" s="729">
        <f>IF(AND(K580=TRUE,K581=FALSE),H580,IF(AND(K580=FALSE,K581=TRUE),H581,MAX(H580,H581)))</f>
        <v>0</v>
      </c>
      <c r="I582" s="1356"/>
      <c r="J582" s="730"/>
      <c r="K582" s="731" t="b">
        <f>IF(AND(K580=FALSE,K581=FALSE),FALSE,TRUE)</f>
        <v>0</v>
      </c>
      <c r="L582" s="1339"/>
      <c r="M582" s="1339"/>
      <c r="N582" s="1339"/>
      <c r="O582" s="1357"/>
      <c r="P582" s="1356"/>
      <c r="Q582" s="730"/>
      <c r="R582" s="731" t="b">
        <f>IF(AND(R580=FALSE,R581=FALSE),FALSE,TRUE)</f>
        <v>0</v>
      </c>
      <c r="S582" s="1356"/>
      <c r="T582" s="730"/>
      <c r="U582" s="731"/>
      <c r="V582" s="807"/>
      <c r="W582" s="821" t="str">
        <f>IF(K582=TRUE,"V","F")</f>
        <v>F</v>
      </c>
      <c r="X582" s="822"/>
      <c r="Y582" s="821" t="str">
        <f>IF(R582=TRUE,"V","F")</f>
        <v>F</v>
      </c>
      <c r="Z582" s="822"/>
      <c r="AA582" s="821"/>
      <c r="AB582" s="822"/>
      <c r="AD582" s="10"/>
      <c r="AE582" s="10"/>
      <c r="AF582" s="10"/>
      <c r="AG582" s="1742">
        <f>IF(AND($K580=TRUE,$K581=FALSE),AG580,IF(AND($K580=FALSE,$K581=TRUE),AG581,IF(AND($K580=TRUE,$K581=TRUE),MAX(AG580,AG581),0)))</f>
        <v>0</v>
      </c>
      <c r="AH582" s="1742">
        <f>IF(AND($R580=TRUE,$R581=FALSE),AH580,IF(AND($R580=FALSE,$R581=TRUE),AH581,IF(AND($R580=TRUE,$R581=TRUE),MAX(AH580,AH581),0)))</f>
        <v>0</v>
      </c>
      <c r="AI582" s="1742"/>
      <c r="AJ582" s="1742">
        <f>IF(AND($K580=TRUE,$K581=FALSE),AJ580,IF(AND($K580=FALSE,$K581=TRUE),AJ581,IF(AND($K580=TRUE,$K581=TRUE),MAX(AJ580,AJ581),0)))</f>
        <v>0</v>
      </c>
      <c r="AK582" s="1742">
        <f>IF(AND($K580=TRUE,$K581=FALSE),AK580,IF(AND($K580=FALSE,$K581=TRUE),AK581,IF(AND($K580=TRUE,$K581=TRUE),MAX(AK580,AK581),0)))</f>
        <v>0</v>
      </c>
      <c r="AL582" s="1742">
        <f t="shared" ref="AL582" si="1221">IF(AND($R580=TRUE,$R581=FALSE),AL580,IF(AND($R580=FALSE,$R581=TRUE),AL581,IF(AND($R580=TRUE,$R581=TRUE),MAX(AL580,AL581),0)))</f>
        <v>0</v>
      </c>
      <c r="AM582" s="1742">
        <f t="shared" ref="AM582" si="1222">IF(AND($R580=TRUE,$R581=FALSE),AM580,IF(AND($R580=FALSE,$R581=TRUE),AM581,IF(AND($R580=TRUE,$R581=TRUE),MAX(AM580,AM581),0)))</f>
        <v>0</v>
      </c>
      <c r="AN582" s="1742"/>
      <c r="AO582" s="1742"/>
    </row>
    <row r="583" spans="1:41" ht="17" x14ac:dyDescent="0.2">
      <c r="B583" s="1700"/>
      <c r="D583" s="386" t="s">
        <v>273</v>
      </c>
      <c r="E583" s="705"/>
      <c r="F583" s="439" t="s">
        <v>349</v>
      </c>
      <c r="G583" s="33"/>
      <c r="H583" s="33">
        <f>IF(AND(K579=TRUE,K582=FALSE),H579,IF(AND(K579=FALSE,K582=TRUE),H582,IF(AND(K579=TRUE,K582=TRUE),H579+H582,MAX(H579,H582))))</f>
        <v>10</v>
      </c>
      <c r="I583" s="1358"/>
      <c r="J583" s="440"/>
      <c r="K583" s="1341"/>
      <c r="L583" s="1342"/>
      <c r="M583" s="1342"/>
      <c r="N583" s="1342"/>
      <c r="O583" s="1359"/>
      <c r="P583" s="1358"/>
      <c r="Q583" s="440"/>
      <c r="R583" s="1367"/>
      <c r="S583" s="1358"/>
      <c r="T583" s="440"/>
      <c r="U583" s="1367"/>
      <c r="V583" s="145"/>
      <c r="W583" s="823"/>
      <c r="X583" s="824">
        <f>IF(AND(W579="V",W582="V"),2,IF(OR(W579="V",W582="V"),1,0))</f>
        <v>0</v>
      </c>
      <c r="Y583" s="823"/>
      <c r="Z583" s="824">
        <f>IF(OR(Y579="V",Y582="V"),1,0)</f>
        <v>0</v>
      </c>
      <c r="AA583" s="823"/>
      <c r="AB583" s="824"/>
      <c r="AD583" s="10"/>
      <c r="AE583" s="10"/>
      <c r="AF583" s="10"/>
      <c r="AG583" s="1738">
        <f>IF(AND($W579="V",$W582="F"),AG579,IF(AND($W579="F",$W582="V"),AG582,IF(AND($W579="V",$W582="V"),AG579+AG582,0)))</f>
        <v>0</v>
      </c>
      <c r="AH583" s="1738">
        <f>IF(AND($Y579="V",$Y582="F"),AH579,IF(AND($Y579="F",$Y582="V"),AH582,IF(AND($Y579="V",$Y582="V"),AH579+AH582,0)))</f>
        <v>0</v>
      </c>
      <c r="AI583" s="1738"/>
      <c r="AJ583" s="1738">
        <f>IF(AND($W579="V",$W582="F"),AJ579,IF(AND($W579="F",$W582="V"),AJ582,IF(AND($W579="V",$W582="V"),AJ579+AJ582,0)))</f>
        <v>0</v>
      </c>
      <c r="AK583" s="1738">
        <f>IF(AND($W579="V",$W582="F"),AK579,IF(AND($W579="F",$W582="V"),AK582,IF(AND($W579="V",$W582="V"),AK579+AK582,0)))</f>
        <v>0</v>
      </c>
      <c r="AL583" s="1738">
        <f>IF(AND($Y579="V",$Y582="F"),AL579,IF(AND($Y579="F",$Y582="V"),AL582,IF(AND($Y579="V",$Y582="V"),AL579+AL582,0)))</f>
        <v>0</v>
      </c>
      <c r="AM583" s="1738">
        <f>IF(AND($Y579="V",$Y582="F"),AM579,IF(AND($Y579="F",$Y582="V"),AM582,IF(AND($Y579="V",$Y582="V"),AM579+AM582,0)))</f>
        <v>0</v>
      </c>
      <c r="AN583" s="1738"/>
      <c r="AO583" s="1738"/>
    </row>
    <row r="584" spans="1:41" ht="16" x14ac:dyDescent="0.2">
      <c r="B584" s="1700"/>
      <c r="C584" t="s">
        <v>238</v>
      </c>
      <c r="I584" s="122"/>
      <c r="L584" s="32"/>
      <c r="M584" s="32"/>
      <c r="N584" s="32"/>
      <c r="O584" s="1379"/>
      <c r="P584" s="122"/>
      <c r="R584" s="292"/>
      <c r="S584" s="122"/>
      <c r="U584" s="292"/>
      <c r="V584" s="32"/>
      <c r="W584" s="821"/>
      <c r="X584" s="822"/>
      <c r="Y584" s="821"/>
      <c r="Z584" s="822"/>
      <c r="AA584" s="821"/>
      <c r="AB584" s="822"/>
      <c r="AD584" s="10"/>
      <c r="AE584" s="10"/>
      <c r="AF584" s="10"/>
      <c r="AG584" s="832"/>
      <c r="AH584" s="832"/>
      <c r="AI584" s="832"/>
      <c r="AJ584" s="1490"/>
      <c r="AK584" s="1490"/>
      <c r="AL584" s="1490"/>
      <c r="AM584" s="1490"/>
      <c r="AN584" s="1490"/>
      <c r="AO584" s="1490"/>
    </row>
    <row r="585" spans="1:41" ht="51" x14ac:dyDescent="0.2">
      <c r="A585" t="str">
        <f>IF(Test_Bible!B138="","F","O")</f>
        <v>O</v>
      </c>
      <c r="B585" s="1700" t="e">
        <f>#REF!</f>
        <v>#REF!</v>
      </c>
      <c r="C585" s="825" t="str">
        <f>'Cpts AR +indép + Sommaire'!U87</f>
        <v>PCR10</v>
      </c>
      <c r="D585" s="826" t="str">
        <f>'Cpts AR +indép + Sommaire'!V87</f>
        <v>Dans quelle mesure acceptez-vous ou êtes-vous serein·e face aux exigences de la coparentalité (logistique horaire, transport, vacances, etc.) ?</v>
      </c>
      <c r="E585" s="826"/>
      <c r="F585" s="830">
        <f>'Cpts AR +indép + Sommaire'!W87</f>
        <v>1</v>
      </c>
      <c r="G585" s="830">
        <f>'Cpts AR +indép + Sommaire'!X87</f>
        <v>1</v>
      </c>
      <c r="H585" s="830">
        <f>F585*G585</f>
        <v>1</v>
      </c>
      <c r="I585" s="1374">
        <v>11</v>
      </c>
      <c r="J585" s="1375">
        <v>11</v>
      </c>
      <c r="K585" s="31" t="b">
        <f>IF(AND(F585&gt;=I585,F585&lt;=J585),TRUE,FALSE)</f>
        <v>0</v>
      </c>
      <c r="L585" s="26"/>
      <c r="M585" s="26"/>
      <c r="N585" s="26"/>
      <c r="O585" s="1360"/>
      <c r="P585" s="1374">
        <v>11</v>
      </c>
      <c r="Q585" s="1375">
        <v>11</v>
      </c>
      <c r="R585" s="1351" t="b">
        <f>IF(AND(F585&gt;=P585,F585&lt;=Q585),TRUE,FALSE)</f>
        <v>0</v>
      </c>
      <c r="S585" s="1350">
        <v>7</v>
      </c>
      <c r="T585" s="1343">
        <v>10</v>
      </c>
      <c r="U585" s="1351" t="b">
        <f>IF(AND(F585&gt;=S585,F585&lt;=T585),TRUE,FALSE)</f>
        <v>0</v>
      </c>
      <c r="V585" s="1327"/>
      <c r="W585" s="821"/>
      <c r="X585" s="822"/>
      <c r="Y585" s="821"/>
      <c r="Z585" s="822"/>
      <c r="AA585" s="821"/>
      <c r="AB585" s="822"/>
      <c r="AD585" s="10"/>
      <c r="AE585" s="10"/>
      <c r="AF585" s="10"/>
      <c r="AG585" s="832">
        <f>IF($K585=TRUE,H585,0)</f>
        <v>0</v>
      </c>
      <c r="AH585" s="832">
        <f>IF($R585=TRUE,H585,0)</f>
        <v>0</v>
      </c>
      <c r="AI585" s="832">
        <f>IF($U585=TRUE,H585,0)</f>
        <v>0</v>
      </c>
      <c r="AJ585" s="1490">
        <f t="shared" ref="AJ585:AJ586" si="1223">IF(OR(I585=11,A585="F"),0,G585*I585)</f>
        <v>0</v>
      </c>
      <c r="AK585" s="1490">
        <f t="shared" ref="AK585:AK586" si="1224">IF(OR(J585=11,A585="F"),0,G585*J585)</f>
        <v>0</v>
      </c>
      <c r="AL585" s="1490">
        <f t="shared" ref="AL585:AL586" si="1225">IF(OR(P585=11,A585="F"),0,G585*P585)</f>
        <v>0</v>
      </c>
      <c r="AM585" s="1490">
        <f t="shared" ref="AM585:AM586" si="1226">IF(OR(Q585=11,A585="F"),0,G585*Q585)</f>
        <v>0</v>
      </c>
      <c r="AN585" s="1490">
        <f t="shared" ref="AN585:AN586" si="1227">IF(OR(S585=11,A585="F"),0,S585*G585)</f>
        <v>7</v>
      </c>
      <c r="AO585" s="1490">
        <f t="shared" ref="AO585:AO586" si="1228">IF(OR(T585=11,A585="F"),0,T585*G585)</f>
        <v>10</v>
      </c>
    </row>
    <row r="586" spans="1:41" ht="20" thickBot="1" x14ac:dyDescent="0.25">
      <c r="B586" s="1700"/>
      <c r="C586" s="825"/>
      <c r="D586" s="829"/>
      <c r="E586" s="826"/>
      <c r="F586" s="830"/>
      <c r="G586" s="830"/>
      <c r="H586" s="830">
        <f>F586*G586</f>
        <v>0</v>
      </c>
      <c r="I586" s="1374">
        <v>11</v>
      </c>
      <c r="J586" s="1375">
        <v>11</v>
      </c>
      <c r="K586" s="31" t="b">
        <f>IF(AND(F586&gt;=I586,F586&lt;=J586),TRUE,FALSE)</f>
        <v>0</v>
      </c>
      <c r="L586" s="26"/>
      <c r="M586" s="26"/>
      <c r="N586" s="26"/>
      <c r="O586" s="1360"/>
      <c r="P586" s="1374">
        <v>11</v>
      </c>
      <c r="Q586" s="1375">
        <v>11</v>
      </c>
      <c r="R586" s="1351" t="b">
        <f>IF(AND(F586&gt;=P586,F586&lt;=Q586),TRUE,FALSE)</f>
        <v>0</v>
      </c>
      <c r="S586" s="1374">
        <v>11</v>
      </c>
      <c r="T586" s="1375">
        <v>11</v>
      </c>
      <c r="U586" s="1351" t="b">
        <f>IF(AND(F586&gt;=S586,F586&lt;=T586),TRUE,FALSE)</f>
        <v>0</v>
      </c>
      <c r="W586" s="821"/>
      <c r="X586" s="822"/>
      <c r="Y586" s="821"/>
      <c r="Z586" s="822"/>
      <c r="AA586" s="821"/>
      <c r="AB586" s="822"/>
      <c r="AD586" s="10"/>
      <c r="AE586" s="10"/>
      <c r="AF586" s="10"/>
      <c r="AG586" s="832">
        <f>IF($K586=TRUE,H586,0)</f>
        <v>0</v>
      </c>
      <c r="AH586" s="832">
        <f>IF($R586=TRUE,H586,0)</f>
        <v>0</v>
      </c>
      <c r="AI586" s="832">
        <f>IF($U586=TRUE,H586,0)</f>
        <v>0</v>
      </c>
      <c r="AJ586" s="1490">
        <f t="shared" si="1223"/>
        <v>0</v>
      </c>
      <c r="AK586" s="1490">
        <f t="shared" si="1224"/>
        <v>0</v>
      </c>
      <c r="AL586" s="1490">
        <f t="shared" si="1225"/>
        <v>0</v>
      </c>
      <c r="AM586" s="1490">
        <f t="shared" si="1226"/>
        <v>0</v>
      </c>
      <c r="AN586" s="1490">
        <f t="shared" si="1227"/>
        <v>0</v>
      </c>
      <c r="AO586" s="1490">
        <f t="shared" si="1228"/>
        <v>0</v>
      </c>
    </row>
    <row r="587" spans="1:41" ht="27" thickBot="1" x14ac:dyDescent="0.35">
      <c r="B587" s="1700"/>
      <c r="E587" s="732"/>
      <c r="F587" s="73"/>
      <c r="G587" s="73"/>
      <c r="H587" s="33">
        <f>IF(AND(K585=TRUE,K586=FALSE),H585,IF(AND(K585=FALSE,K586=TRUE),H586,MAX(H585,H586)))</f>
        <v>1</v>
      </c>
      <c r="I587" s="1371"/>
      <c r="J587" s="1372"/>
      <c r="K587" s="1378" t="b">
        <f>IF(AND(K585=FALSE,K586=FALSE),FALSE,TRUE)</f>
        <v>0</v>
      </c>
      <c r="L587" s="1361"/>
      <c r="M587" s="1362"/>
      <c r="N587" s="1362"/>
      <c r="O587" s="1363"/>
      <c r="P587" s="1371"/>
      <c r="Q587" s="1372"/>
      <c r="R587" s="1378" t="b">
        <f>IF(AND(R585=FALSE,R586=FALSE),FALSE,TRUE)</f>
        <v>0</v>
      </c>
      <c r="S587" s="1383"/>
      <c r="T587" s="1384"/>
      <c r="U587" s="1385" t="b">
        <f>IF(AND(U585=FALSE,U586=FALSE),FALSE,TRUE)</f>
        <v>0</v>
      </c>
      <c r="V587" s="73"/>
      <c r="W587" s="1315" t="str">
        <f>IF(K587=TRUE,"V","F")</f>
        <v>F</v>
      </c>
      <c r="X587" s="1316"/>
      <c r="Y587" s="1315" t="str">
        <f>IF(R587=TRUE,"V","F")</f>
        <v>F</v>
      </c>
      <c r="Z587" s="1316"/>
      <c r="AA587" s="1315" t="str">
        <f>IF(U587=TRUE,"V","F")</f>
        <v>F</v>
      </c>
      <c r="AB587" s="1316"/>
      <c r="AD587" s="10"/>
      <c r="AE587" s="10"/>
      <c r="AF587" s="10"/>
      <c r="AG587" s="1742">
        <f>IF(AND($K585=TRUE,$K586=FALSE),AG585,IF(AND($K585=FALSE,$K586=TRUE),AG586,MAX(AG585,AG586)))</f>
        <v>0</v>
      </c>
      <c r="AH587" s="1742">
        <f>IF(AND($R585=TRUE,$R586=FALSE),AH585,IF(AND($R585=FALSE,$R586=TRUE),AH586,MAX(AH585,AH586)))</f>
        <v>0</v>
      </c>
      <c r="AI587" s="1742">
        <f>IF(AND($U585=TRUE,$U586=FALSE),AI585,IF(AND($U585=FALSE,$U586=TRUE),AI586,MAX(AI585,AI586)))</f>
        <v>0</v>
      </c>
      <c r="AJ587" s="1742">
        <f>IF(AND($K585=TRUE,$K586=FALSE),AJ585,IF(AND($K585=FALSE,$K586=TRUE),AJ586,MAX(AJ585,AJ586)))</f>
        <v>0</v>
      </c>
      <c r="AK587" s="1742">
        <f>IF(AND($K585=TRUE,$K586=FALSE),AK585,IF(AND($K585=FALSE,$K586=TRUE),AK586,MAX(AK585,AK586)))</f>
        <v>0</v>
      </c>
      <c r="AL587" s="1742">
        <f>IF(AND($R585=TRUE,$R586=FALSE),AL585,IF(AND($R585=FALSE,$R586=TRUE),AL586,MAX(AL585,AL586)))</f>
        <v>0</v>
      </c>
      <c r="AM587" s="1742">
        <f>IF(AND($R585=TRUE,$R586=FALSE),AM585,IF(AND($R585=FALSE,$R586=TRUE),AM586,MAX(AM585,AM586)))</f>
        <v>0</v>
      </c>
      <c r="AN587" s="1742">
        <f>IF(AND($U585=TRUE,$U586=FALSE),AN585,IF(AND($U585=FALSE,$U586=TRUE),AN586,MAX(AN585,AN586)))</f>
        <v>7</v>
      </c>
      <c r="AO587" s="1742">
        <f>IF(AND($U585=TRUE,$U586=FALSE),AO585,IF(AND($U585=FALSE,$U586=TRUE),AO586,MAX(AO585,AO586)))</f>
        <v>10</v>
      </c>
    </row>
    <row r="588" spans="1:41" ht="21" x14ac:dyDescent="0.25">
      <c r="B588" s="1700"/>
      <c r="W588" s="1376"/>
      <c r="X588" s="1377">
        <f>IF(AND(W587="V",W579="V"),X583-1,X583)</f>
        <v>0</v>
      </c>
      <c r="Y588" s="1376"/>
      <c r="Z588" s="1377">
        <f>IF(OR(Y579="V",Y582="V",Y587="V"),1,0)</f>
        <v>0</v>
      </c>
      <c r="AA588" s="1376"/>
      <c r="AB588" s="1377">
        <f>IF(AA579="V",1,IF(AA587="V",1,0))</f>
        <v>1</v>
      </c>
      <c r="AD588" s="10">
        <f>X588</f>
        <v>0</v>
      </c>
      <c r="AE588" s="10">
        <f>Z588</f>
        <v>0</v>
      </c>
      <c r="AF588" s="10">
        <f>AB588</f>
        <v>1</v>
      </c>
      <c r="AG588" s="1741">
        <f>IF($W587="F",AG583,AG583+AG587)</f>
        <v>0</v>
      </c>
      <c r="AH588" s="1741">
        <f>IF($Y587="F",AH583,AH583+AH587)</f>
        <v>0</v>
      </c>
      <c r="AI588" s="1741">
        <f>IF(AND($AA579="V",$AA587="F"),AI579,IF(AND($AA579="F",$AA587="V"),AI587,IF(AND($AA579="V",$AA587="V"),AI579+AI587,0)))</f>
        <v>10</v>
      </c>
      <c r="AJ588" s="1741">
        <f>IF($W587="F",AJ583,AJ583+AJ587)</f>
        <v>0</v>
      </c>
      <c r="AK588" s="1741">
        <f t="shared" ref="AK588" si="1229">IF($W587="F",AK583,AK583+AK587)</f>
        <v>0</v>
      </c>
      <c r="AL588" s="1741">
        <f t="shared" ref="AL588" si="1230">IF($Y587="F",AL583,AL583+AL587)</f>
        <v>0</v>
      </c>
      <c r="AM588" s="1741">
        <f t="shared" ref="AM588" si="1231">IF($Y587="F",AM583,AM583+AM587)</f>
        <v>0</v>
      </c>
      <c r="AN588" s="1741">
        <f t="shared" ref="AN588" si="1232">IF(AND($AA579="V",$AA587="F"),AN579,IF(AND($AA579="F",$AA587="V"),AN587,IF(AND($AA579="V",$AA587="V"),AN579+AN587,0)))</f>
        <v>7</v>
      </c>
      <c r="AO588" s="1741">
        <f t="shared" ref="AO588" si="1233">IF(AND($AA579="V",$AA587="F"),AO579,IF(AND($AA579="F",$AA587="V"),AO587,IF(AND($AA579="V",$AA587="V"),AO579+AO587,0)))</f>
        <v>10</v>
      </c>
    </row>
    <row r="589" spans="1:41" ht="16" x14ac:dyDescent="0.2">
      <c r="B589" s="1700"/>
      <c r="W589" s="1387"/>
      <c r="X589" s="1388"/>
      <c r="Y589" s="1231"/>
      <c r="AD589" s="10"/>
      <c r="AE589" s="10"/>
      <c r="AF589" s="10"/>
    </row>
    <row r="590" spans="1:41" x14ac:dyDescent="0.3">
      <c r="E590" s="85" t="s">
        <v>268</v>
      </c>
      <c r="F590" s="2593" t="s">
        <v>254</v>
      </c>
      <c r="G590" s="2593"/>
      <c r="H590" s="2593"/>
      <c r="I590" s="2593"/>
      <c r="J590" s="2593"/>
      <c r="K590" s="703"/>
      <c r="L590" s="2594"/>
      <c r="M590" s="2594"/>
      <c r="N590" s="2594"/>
      <c r="O590" s="703"/>
      <c r="P590" s="703"/>
      <c r="Q590" s="703"/>
      <c r="R590" s="703"/>
      <c r="S590" s="703"/>
      <c r="T590" s="703"/>
      <c r="U590" s="703"/>
      <c r="V590" s="73"/>
      <c r="AD590" s="10"/>
      <c r="AE590" s="10"/>
      <c r="AF590" s="10"/>
    </row>
    <row r="591" spans="1:41" x14ac:dyDescent="0.3">
      <c r="B591" s="1699">
        <v>3</v>
      </c>
      <c r="D591" s="441" t="e">
        <f>'Cpts AR +indép + Sommaire'!B89</f>
        <v>#REF!</v>
      </c>
      <c r="E591" s="84"/>
      <c r="F591" s="50"/>
      <c r="G591" s="18"/>
      <c r="H591" s="18"/>
      <c r="I591" s="2595" t="s">
        <v>604</v>
      </c>
      <c r="J591" s="2596"/>
      <c r="K591" s="2596"/>
      <c r="L591" s="2597" t="s">
        <v>1086</v>
      </c>
      <c r="M591" s="2597"/>
      <c r="N591" s="2597"/>
      <c r="O591" s="2598"/>
      <c r="P591" s="2599" t="s">
        <v>603</v>
      </c>
      <c r="Q591" s="2600"/>
      <c r="R591" s="2601"/>
      <c r="S591" s="2590" t="s">
        <v>605</v>
      </c>
      <c r="T591" s="2591"/>
      <c r="U591" s="2592"/>
      <c r="V591" s="15"/>
      <c r="W591" s="817"/>
      <c r="X591" s="817"/>
      <c r="Y591" s="817"/>
      <c r="Z591" s="817"/>
      <c r="AA591" s="817"/>
      <c r="AB591" s="818"/>
      <c r="AD591" s="10"/>
      <c r="AE591" s="10"/>
      <c r="AF591" s="10"/>
      <c r="AG591" s="1386" t="s">
        <v>604</v>
      </c>
      <c r="AH591" s="1386" t="s">
        <v>603</v>
      </c>
      <c r="AI591" s="1386" t="s">
        <v>605</v>
      </c>
      <c r="AJ591" s="2589" t="s">
        <v>604</v>
      </c>
      <c r="AK591" s="2589"/>
      <c r="AL591" s="2589" t="s">
        <v>603</v>
      </c>
      <c r="AM591" s="2589"/>
      <c r="AN591" s="2589" t="s">
        <v>605</v>
      </c>
      <c r="AO591" s="2589"/>
    </row>
    <row r="592" spans="1:41" ht="34" x14ac:dyDescent="0.2">
      <c r="B592" s="1700"/>
      <c r="D592" s="79" t="s">
        <v>779</v>
      </c>
      <c r="E592" s="835"/>
      <c r="F592" s="26" t="s">
        <v>226</v>
      </c>
      <c r="G592" s="26" t="s">
        <v>22</v>
      </c>
      <c r="H592" s="26" t="s">
        <v>612</v>
      </c>
      <c r="I592" s="1348" t="s">
        <v>269</v>
      </c>
      <c r="J592" s="29" t="s">
        <v>270</v>
      </c>
      <c r="K592" s="29" t="s">
        <v>271</v>
      </c>
      <c r="L592" s="29" t="s">
        <v>363</v>
      </c>
      <c r="M592" s="29" t="s">
        <v>339</v>
      </c>
      <c r="N592" s="29" t="s">
        <v>340</v>
      </c>
      <c r="O592" s="1349" t="s">
        <v>341</v>
      </c>
      <c r="P592" s="1348" t="s">
        <v>269</v>
      </c>
      <c r="Q592" s="29" t="s">
        <v>270</v>
      </c>
      <c r="R592" s="1349" t="s">
        <v>271</v>
      </c>
      <c r="S592" s="1348" t="s">
        <v>269</v>
      </c>
      <c r="T592" s="29" t="s">
        <v>270</v>
      </c>
      <c r="U592" s="1349" t="s">
        <v>271</v>
      </c>
      <c r="V592" s="736"/>
      <c r="W592" s="827" t="s">
        <v>604</v>
      </c>
      <c r="X592" s="828" t="s">
        <v>754</v>
      </c>
      <c r="Y592" s="827" t="s">
        <v>603</v>
      </c>
      <c r="Z592" s="828" t="s">
        <v>755</v>
      </c>
      <c r="AA592" s="827" t="s">
        <v>605</v>
      </c>
      <c r="AB592" s="828" t="s">
        <v>756</v>
      </c>
      <c r="AD592" s="10"/>
      <c r="AE592" s="10"/>
      <c r="AF592" s="10"/>
      <c r="AG592" s="10"/>
      <c r="AH592" s="10"/>
      <c r="AI592" s="10"/>
      <c r="AJ592" s="1490" t="s">
        <v>1058</v>
      </c>
      <c r="AK592" s="1490" t="s">
        <v>1059</v>
      </c>
      <c r="AL592" s="1490" t="s">
        <v>1058</v>
      </c>
      <c r="AM592" s="1490" t="s">
        <v>1059</v>
      </c>
      <c r="AN592" s="1490" t="s">
        <v>1058</v>
      </c>
      <c r="AO592" s="1490" t="s">
        <v>1059</v>
      </c>
    </row>
    <row r="593" spans="1:41" ht="34" x14ac:dyDescent="0.2">
      <c r="A593" t="str">
        <f>IF(Test_Bible!B205="","F","O")</f>
        <v>O</v>
      </c>
      <c r="B593" s="1700" t="e">
        <f>#REF!</f>
        <v>#REF!</v>
      </c>
      <c r="C593" s="379" t="str">
        <f>'Cpts AR +indép + Sommaire'!C89</f>
        <v>PFA21</v>
      </c>
      <c r="D593" s="25" t="str">
        <f>'Cpts AR +indép + Sommaire'!D89</f>
        <v xml:space="preserve">Dans quelle mesure diriez-vous que l'autre parent vous considère comme étant son égal·e sur le plan parental ? </v>
      </c>
      <c r="E593" s="78"/>
      <c r="F593" s="709">
        <f>'Cpts AR +indép + Sommaire'!E89</f>
        <v>10</v>
      </c>
      <c r="G593" s="709">
        <f>'Cpts AR +indép + Sommaire'!F89</f>
        <v>1</v>
      </c>
      <c r="H593" s="709">
        <f>F593*G593</f>
        <v>10</v>
      </c>
      <c r="I593" s="1374">
        <v>11</v>
      </c>
      <c r="J593" s="1375">
        <v>11</v>
      </c>
      <c r="K593" s="31" t="b">
        <f>IF(AND(F593&gt;=I593,F593&lt;=J593),TRUE,FALSE)</f>
        <v>0</v>
      </c>
      <c r="L593" s="31"/>
      <c r="M593" s="31"/>
      <c r="N593" s="31"/>
      <c r="O593" s="1351"/>
      <c r="P593" s="1374">
        <v>11</v>
      </c>
      <c r="Q593" s="1375">
        <v>11</v>
      </c>
      <c r="R593" s="1351" t="b">
        <f>IF(AND(F593&gt;=P593,F593&lt;=Q593),TRUE,FALSE)</f>
        <v>0</v>
      </c>
      <c r="S593" s="1350">
        <v>7</v>
      </c>
      <c r="T593" s="1343">
        <v>10</v>
      </c>
      <c r="U593" s="1351" t="b">
        <f>IF(AND(F593&gt;=S593,F593&lt;=T593),TRUE,FALSE)</f>
        <v>1</v>
      </c>
      <c r="V593" s="1327"/>
      <c r="W593" s="819"/>
      <c r="X593" s="820"/>
      <c r="Y593" s="819"/>
      <c r="Z593" s="820"/>
      <c r="AA593" s="819"/>
      <c r="AB593" s="820"/>
      <c r="AD593" s="10"/>
      <c r="AE593" s="10"/>
      <c r="AF593" s="10"/>
      <c r="AG593" s="832">
        <f>IF($K593=TRUE,H593,0)</f>
        <v>0</v>
      </c>
      <c r="AH593" s="832">
        <f>IF($R593=TRUE,H593,0)</f>
        <v>0</v>
      </c>
      <c r="AI593" s="832">
        <f>IF($U593=TRUE,H593,0)</f>
        <v>10</v>
      </c>
      <c r="AJ593" s="1490">
        <f t="shared" ref="AJ593:AJ594" si="1234">IF(OR(I593=11,A593="F"),0,G593*I593)</f>
        <v>0</v>
      </c>
      <c r="AK593" s="1490">
        <f t="shared" ref="AK593:AK594" si="1235">IF(OR(J593=11,A593="F"),0,G593*J593)</f>
        <v>0</v>
      </c>
      <c r="AL593" s="1490">
        <f t="shared" ref="AL593:AL594" si="1236">IF(OR(P593=11,A593="F"),0,G593*P593)</f>
        <v>0</v>
      </c>
      <c r="AM593" s="1490">
        <f t="shared" ref="AM593:AM594" si="1237">IF(OR(Q593=11,A593="F"),0,G593*Q593)</f>
        <v>0</v>
      </c>
      <c r="AN593" s="1490">
        <f t="shared" ref="AN593:AN594" si="1238">IF(OR(S593=11,A593="F"),0,S593*G593)</f>
        <v>7</v>
      </c>
      <c r="AO593" s="1490">
        <f t="shared" ref="AO593:AO594" si="1239">IF(OR(T593=11,A593="F"),0,T593*G593)</f>
        <v>10</v>
      </c>
    </row>
    <row r="594" spans="1:41" ht="21" x14ac:dyDescent="0.2">
      <c r="B594" s="1700"/>
      <c r="C594" s="379"/>
      <c r="D594" s="25"/>
      <c r="E594" s="78"/>
      <c r="F594" s="709"/>
      <c r="G594" s="708"/>
      <c r="H594" s="709"/>
      <c r="I594" s="1350"/>
      <c r="J594" s="1343"/>
      <c r="K594" s="31"/>
      <c r="L594" s="31"/>
      <c r="M594" s="31"/>
      <c r="N594" s="31"/>
      <c r="O594" s="1351"/>
      <c r="P594" s="1374"/>
      <c r="Q594" s="1375"/>
      <c r="R594" s="1351"/>
      <c r="S594" s="1374"/>
      <c r="T594" s="1375"/>
      <c r="U594" s="1351"/>
      <c r="V594" s="807"/>
      <c r="W594" s="821"/>
      <c r="X594" s="822"/>
      <c r="Y594" s="821"/>
      <c r="Z594" s="822"/>
      <c r="AA594" s="821"/>
      <c r="AB594" s="822"/>
      <c r="AD594" s="10"/>
      <c r="AE594" s="10"/>
      <c r="AF594" s="10"/>
      <c r="AG594" s="832">
        <f>IF($K594=TRUE,H594,0)</f>
        <v>0</v>
      </c>
      <c r="AH594" s="832">
        <f>IF($R594=TRUE,H594,0)</f>
        <v>0</v>
      </c>
      <c r="AI594" s="832">
        <f>IF($U594=TRUE,H594,0)</f>
        <v>0</v>
      </c>
      <c r="AJ594" s="1490">
        <f t="shared" si="1234"/>
        <v>0</v>
      </c>
      <c r="AK594" s="1490">
        <f t="shared" si="1235"/>
        <v>0</v>
      </c>
      <c r="AL594" s="1490">
        <f t="shared" si="1236"/>
        <v>0</v>
      </c>
      <c r="AM594" s="1490">
        <f t="shared" si="1237"/>
        <v>0</v>
      </c>
      <c r="AN594" s="1490">
        <f t="shared" si="1238"/>
        <v>0</v>
      </c>
      <c r="AO594" s="1490">
        <f t="shared" si="1239"/>
        <v>0</v>
      </c>
    </row>
    <row r="595" spans="1:41" ht="34" x14ac:dyDescent="0.2">
      <c r="B595" s="1700"/>
      <c r="C595" s="710" t="s">
        <v>609</v>
      </c>
      <c r="D595" s="711" t="str">
        <f>_xlfn.XLOOKUP(H595,H593:H594,D593:D594)</f>
        <v xml:space="preserve">Dans quelle mesure diriez-vous que l'autre parent vous considère comme étant son égal·e sur le plan parental ? </v>
      </c>
      <c r="E595" s="712"/>
      <c r="F595" s="713"/>
      <c r="G595" s="713"/>
      <c r="H595" s="713">
        <f>IF(AND(K593=TRUE,K594=FALSE),H593,IF(AND(K593=FALSE,K594=TRUE),H594,MAX(H593,H594)))</f>
        <v>10</v>
      </c>
      <c r="I595" s="1352"/>
      <c r="J595" s="714"/>
      <c r="K595" s="715" t="b">
        <f>IF(AND(K593=FALSE,K594=FALSE),FALSE,TRUE)</f>
        <v>0</v>
      </c>
      <c r="L595" s="31"/>
      <c r="M595" s="31"/>
      <c r="N595" s="31"/>
      <c r="O595" s="1351"/>
      <c r="P595" s="1352"/>
      <c r="Q595" s="714"/>
      <c r="R595" s="1365" t="b">
        <f>IF(AND(R593=FALSE,R594=FALSE),FALSE,TRUE)</f>
        <v>0</v>
      </c>
      <c r="S595" s="1352"/>
      <c r="T595" s="714"/>
      <c r="U595" s="1365" t="b">
        <f>IF(AND(U593=FALSE,U594=FALSE),FALSE,TRUE)</f>
        <v>1</v>
      </c>
      <c r="V595" s="807"/>
      <c r="W595" s="821"/>
      <c r="X595" s="822"/>
      <c r="Y595" s="821"/>
      <c r="Z595" s="822"/>
      <c r="AA595" s="821"/>
      <c r="AB595" s="822"/>
      <c r="AD595" s="10"/>
      <c r="AE595" s="10"/>
      <c r="AF595" s="10"/>
      <c r="AG595" s="1740">
        <f>IF($K595=TRUE,MAX(AG593:AG594),0)</f>
        <v>0</v>
      </c>
      <c r="AH595" s="1740">
        <f>IF($R595=TRUE,MAX(AH593:AH594),0)</f>
        <v>0</v>
      </c>
      <c r="AI595" s="1740">
        <f>IF($U595=TRUE,MAX(AI593:AI594),0)</f>
        <v>10</v>
      </c>
      <c r="AJ595" s="1739">
        <f>MAX(AJ593:AJ594)</f>
        <v>0</v>
      </c>
      <c r="AK595" s="1739">
        <f t="shared" ref="AK595" si="1240">MAX(AK593:AK594)</f>
        <v>0</v>
      </c>
      <c r="AL595" s="1739">
        <f t="shared" ref="AL595" si="1241">MAX(AL593:AL594)</f>
        <v>0</v>
      </c>
      <c r="AM595" s="1739">
        <f t="shared" ref="AM595" si="1242">MAX(AM593:AM594)</f>
        <v>0</v>
      </c>
      <c r="AN595" s="1739">
        <f t="shared" ref="AN595" si="1243">MAX(AN593:AN594)</f>
        <v>7</v>
      </c>
      <c r="AO595" s="1739">
        <f t="shared" ref="AO595" si="1244">MAX(AO593:AO594)</f>
        <v>10</v>
      </c>
    </row>
    <row r="596" spans="1:41" ht="16" x14ac:dyDescent="0.2">
      <c r="B596" s="1700"/>
      <c r="C596" s="38"/>
      <c r="D596" s="25"/>
      <c r="E596" s="78"/>
      <c r="F596" s="709"/>
      <c r="G596" s="708"/>
      <c r="H596" s="709">
        <f>F596*G596</f>
        <v>0</v>
      </c>
      <c r="I596" s="1374">
        <v>11</v>
      </c>
      <c r="J596" s="1375">
        <v>11</v>
      </c>
      <c r="K596" s="31" t="b">
        <f>IF(AND(F596&gt;=I596,F596&lt;=J596),TRUE,FALSE)</f>
        <v>0</v>
      </c>
      <c r="L596" s="31"/>
      <c r="M596" s="31"/>
      <c r="N596" s="31"/>
      <c r="O596" s="1351"/>
      <c r="P596" s="1374">
        <v>11</v>
      </c>
      <c r="Q596" s="1375">
        <v>11</v>
      </c>
      <c r="R596" s="1351" t="b">
        <f>IF(AND(F596&gt;=P596,F596&lt;=Q596),TRUE,FALSE)</f>
        <v>0</v>
      </c>
      <c r="S596" s="1374">
        <v>11</v>
      </c>
      <c r="T596" s="1375">
        <v>11</v>
      </c>
      <c r="U596" s="1351" t="b">
        <f>IF(AND(F596&gt;=S596,F596&lt;=T596),TRUE,FALSE)</f>
        <v>0</v>
      </c>
      <c r="V596" s="807"/>
      <c r="W596" s="821"/>
      <c r="X596" s="822"/>
      <c r="Y596" s="821"/>
      <c r="Z596" s="822"/>
      <c r="AA596" s="821"/>
      <c r="AB596" s="822"/>
      <c r="AD596" s="10"/>
      <c r="AE596" s="10"/>
      <c r="AF596" s="10"/>
      <c r="AG596" s="832">
        <f>IF(K596=TRUE,H596,0)</f>
        <v>0</v>
      </c>
      <c r="AH596" s="832">
        <f>IF(R596=TRUE,H596,0)</f>
        <v>0</v>
      </c>
      <c r="AI596" s="832">
        <f>IF(U596=TRUE,H596,0)</f>
        <v>0</v>
      </c>
      <c r="AJ596" s="1490">
        <f t="shared" ref="AJ596:AJ597" si="1245">IF(OR(I596=11,A596="F"),0,G596*I596)</f>
        <v>0</v>
      </c>
      <c r="AK596" s="1490">
        <f t="shared" ref="AK596:AK597" si="1246">IF(OR(J596=11,A596="F"),0,G596*J596)</f>
        <v>0</v>
      </c>
      <c r="AL596" s="1490">
        <f t="shared" ref="AL596:AL597" si="1247">IF(OR(P596=11,A596="F"),0,G596*P596)</f>
        <v>0</v>
      </c>
      <c r="AM596" s="1490">
        <f t="shared" ref="AM596:AM597" si="1248">IF(OR(Q596=11,A596="F"),0,G596*Q596)</f>
        <v>0</v>
      </c>
      <c r="AN596" s="1490">
        <f t="shared" ref="AN596:AN597" si="1249">IF(OR(S596=11,A596="F"),0,S596*G596)</f>
        <v>0</v>
      </c>
      <c r="AO596" s="1490">
        <f t="shared" ref="AO596:AO597" si="1250">IF(OR(T596=11,A596="F"),0,T596*G596)</f>
        <v>0</v>
      </c>
    </row>
    <row r="597" spans="1:41" ht="16" x14ac:dyDescent="0.2">
      <c r="B597" s="1700"/>
      <c r="C597" s="38"/>
      <c r="D597" s="25"/>
      <c r="E597" s="48"/>
      <c r="F597" s="27"/>
      <c r="G597" s="27"/>
      <c r="H597" s="27">
        <f>F597*G597</f>
        <v>0</v>
      </c>
      <c r="I597" s="1374">
        <v>11</v>
      </c>
      <c r="J597" s="1375">
        <v>11</v>
      </c>
      <c r="K597" s="31" t="b">
        <f>IF(AND(F597&gt;=I597,F597&lt;=J597),TRUE,FALSE)</f>
        <v>0</v>
      </c>
      <c r="L597" s="31"/>
      <c r="M597" s="31"/>
      <c r="N597" s="31"/>
      <c r="O597" s="1351"/>
      <c r="P597" s="1374">
        <v>11</v>
      </c>
      <c r="Q597" s="1375">
        <v>11</v>
      </c>
      <c r="R597" s="1351" t="b">
        <f>IF(AND(F597&gt;=P597,F597&lt;=Q597),TRUE,FALSE)</f>
        <v>0</v>
      </c>
      <c r="S597" s="1374">
        <v>11</v>
      </c>
      <c r="T597" s="1375">
        <v>11</v>
      </c>
      <c r="U597" s="1351" t="b">
        <f>IF(AND(F597&gt;=S597,F597&lt;=T597),TRUE,FALSE)</f>
        <v>0</v>
      </c>
      <c r="V597" s="807"/>
      <c r="W597" s="821"/>
      <c r="X597" s="822"/>
      <c r="Y597" s="821"/>
      <c r="Z597" s="822"/>
      <c r="AA597" s="821"/>
      <c r="AB597" s="822"/>
      <c r="AD597" s="10"/>
      <c r="AE597" s="10"/>
      <c r="AF597" s="10"/>
      <c r="AG597" s="832">
        <f>IF(K597=TRUE,H597,0)</f>
        <v>0</v>
      </c>
      <c r="AH597" s="832">
        <f>IF(R597=TRUE,H597,0)</f>
        <v>0</v>
      </c>
      <c r="AI597" s="832">
        <f>IF(U597=TRUE,H597,0)</f>
        <v>0</v>
      </c>
      <c r="AJ597" s="1490">
        <f t="shared" si="1245"/>
        <v>0</v>
      </c>
      <c r="AK597" s="1490">
        <f t="shared" si="1246"/>
        <v>0</v>
      </c>
      <c r="AL597" s="1490">
        <f t="shared" si="1247"/>
        <v>0</v>
      </c>
      <c r="AM597" s="1490">
        <f t="shared" si="1248"/>
        <v>0</v>
      </c>
      <c r="AN597" s="1490">
        <f t="shared" si="1249"/>
        <v>0</v>
      </c>
      <c r="AO597" s="1490">
        <f t="shared" si="1250"/>
        <v>0</v>
      </c>
    </row>
    <row r="598" spans="1:41" ht="17" thickBot="1" x14ac:dyDescent="0.25">
      <c r="B598" s="1700"/>
      <c r="C598" s="716" t="s">
        <v>610</v>
      </c>
      <c r="D598" s="717">
        <f>_xlfn.XLOOKUP(H598,H596:H597,D596:D597)</f>
        <v>0</v>
      </c>
      <c r="E598" s="718"/>
      <c r="F598" s="719"/>
      <c r="G598" s="719"/>
      <c r="H598" s="713">
        <f>IF(AND(K596=TRUE,K597=FALSE),H596,IF(AND(K596=FALSE,K597=TRUE),H597,MAX(H596,H597)))</f>
        <v>0</v>
      </c>
      <c r="I598" s="1353"/>
      <c r="J598" s="720"/>
      <c r="K598" s="721" t="b">
        <f>IF(AND(K596=FALSE,K597=FALSE),FALSE,TRUE)</f>
        <v>0</v>
      </c>
      <c r="L598" s="31"/>
      <c r="M598" s="31"/>
      <c r="N598" s="31"/>
      <c r="O598" s="1351"/>
      <c r="P598" s="1353"/>
      <c r="Q598" s="720"/>
      <c r="R598" s="1366" t="b">
        <f>IF(AND(R596=FALSE,R597=FALSE),FALSE,TRUE)</f>
        <v>0</v>
      </c>
      <c r="S598" s="1353"/>
      <c r="T598" s="720"/>
      <c r="U598" s="1366" t="b">
        <f>IF(AND(U596=FALSE,U597=FALSE),FALSE,TRUE)</f>
        <v>0</v>
      </c>
      <c r="V598" s="807"/>
      <c r="W598" s="821"/>
      <c r="X598" s="822"/>
      <c r="Y598" s="821"/>
      <c r="Z598" s="822"/>
      <c r="AA598" s="821"/>
      <c r="AB598" s="822"/>
      <c r="AD598" s="10"/>
      <c r="AE598" s="10"/>
      <c r="AF598" s="10"/>
      <c r="AG598" s="1740">
        <f>IF($K598=TRUE,MAX(AG596:AG597),0)</f>
        <v>0</v>
      </c>
      <c r="AH598" s="1740">
        <f>IF($R598=TRUE,MAX(AH596:AH597),0)</f>
        <v>0</v>
      </c>
      <c r="AI598" s="1740">
        <f>IF($U598=TRUE,MAX(AI596:AI597),0)</f>
        <v>0</v>
      </c>
      <c r="AJ598" s="1739">
        <f>MAX(AJ596:AJ597)</f>
        <v>0</v>
      </c>
      <c r="AK598" s="1739">
        <f t="shared" ref="AK598" si="1251">MAX(AK596:AK597)</f>
        <v>0</v>
      </c>
      <c r="AL598" s="1739">
        <f t="shared" ref="AL598" si="1252">MAX(AL596:AL597)</f>
        <v>0</v>
      </c>
      <c r="AM598" s="1739">
        <f t="shared" ref="AM598" si="1253">MAX(AM596:AM597)</f>
        <v>0</v>
      </c>
      <c r="AN598" s="1739">
        <f t="shared" ref="AN598" si="1254">MAX(AN596:AN597)</f>
        <v>0</v>
      </c>
      <c r="AO598" s="1739">
        <f t="shared" ref="AO598" si="1255">MAX(AO596:AO597)</f>
        <v>0</v>
      </c>
    </row>
    <row r="599" spans="1:41" ht="35" thickBot="1" x14ac:dyDescent="0.25">
      <c r="B599" s="1700"/>
      <c r="C599" s="722" t="s">
        <v>616</v>
      </c>
      <c r="D599" s="723"/>
      <c r="E599" s="723"/>
      <c r="F599" s="724"/>
      <c r="G599" s="724"/>
      <c r="H599" s="724">
        <f>IF(AND(K595=TRUE,K598=FALSE),H595,IF(AND(K595=FALSE,K598=TRUE),H598,IF(AND(K595=TRUE,K598=TRUE),H595+H598,MAX(H595,H598))))</f>
        <v>10</v>
      </c>
      <c r="I599" s="1354"/>
      <c r="J599" s="725"/>
      <c r="K599" s="726" t="b">
        <f>IF(AND(K595=FALSE,K598=FALSE),FALSE,TRUE)</f>
        <v>0</v>
      </c>
      <c r="L599" s="1338"/>
      <c r="M599" s="1338"/>
      <c r="N599" s="1338"/>
      <c r="O599" s="1355"/>
      <c r="P599" s="1354"/>
      <c r="Q599" s="725"/>
      <c r="R599" s="726" t="b">
        <f>IF(AND(R595=FALSE,R598=FALSE),FALSE,TRUE)</f>
        <v>0</v>
      </c>
      <c r="S599" s="1354"/>
      <c r="T599" s="725"/>
      <c r="U599" s="726" t="b">
        <f>IF(AND(U595=FALSE,U598=FALSE),FALSE,TRUE)</f>
        <v>1</v>
      </c>
      <c r="V599" s="807"/>
      <c r="W599" s="821" t="str">
        <f>IF(K599=TRUE,"V","F")</f>
        <v>F</v>
      </c>
      <c r="X599" s="822"/>
      <c r="Y599" s="821" t="str">
        <f>IF(R599=TRUE,"V","F")</f>
        <v>F</v>
      </c>
      <c r="Z599" s="822"/>
      <c r="AA599" s="821" t="str">
        <f>IF(U599=TRUE,"V","F")</f>
        <v>V</v>
      </c>
      <c r="AB599" s="822"/>
      <c r="AD599" s="10"/>
      <c r="AE599" s="10"/>
      <c r="AF599" s="10"/>
      <c r="AG599" s="591">
        <f>IF(AND($K595=TRUE,$K598=FALSE),AG595,IF(AND($K595=FALSE,$K598=TRUE),AG598,IF(AND($K595=TRUE,$K598=TRUE),AG595+AG598,0)))</f>
        <v>0</v>
      </c>
      <c r="AH599" s="591">
        <f>IF(AND($R595=TRUE,$R598=FALSE),AH595,IF(AND($R595=FALSE,$R598=TRUE),AH598,IF(AND($R595=TRUE,$R598=TRUE),AH595+AH598,0)))</f>
        <v>0</v>
      </c>
      <c r="AI599" s="591">
        <f>IF(AND($U595=TRUE,$U598=FALSE),AI595,IF(AND($U595=FALSE,$U598=TRUE),AI598,IF(AND($U595=TRUE,$U598=TRUE),AI595+AI598,0)))</f>
        <v>10</v>
      </c>
      <c r="AJ599" s="591">
        <f>IF(AND($K595=TRUE,$K598=FALSE),AJ595,IF(AND($K595=FALSE,$K598=TRUE),AJ598,IF(AND($K595=TRUE,$K598=TRUE),AJ595+AJ598,MAX(AJ595,AJ598))))</f>
        <v>0</v>
      </c>
      <c r="AK599" s="591">
        <f>IF(AND($K595=TRUE,$K598=FALSE),AK595,IF(AND($K595=FALSE,$K598=TRUE),AK598,IF(AND($K595=TRUE,$K598=TRUE),AK595+AK598,MAX(AK595,AK598))))</f>
        <v>0</v>
      </c>
      <c r="AL599" s="591">
        <f t="shared" ref="AL599" si="1256">IF(AND($R595=TRUE,$R598=FALSE),AL595,IF(AND($R595=FALSE,$R598=TRUE),AL598,IF(AND($R595=TRUE,$R598=TRUE),AL595+AL598,MAX(AL595,AL598))))</f>
        <v>0</v>
      </c>
      <c r="AM599" s="591">
        <f t="shared" ref="AM599" si="1257">IF(AND($R595=TRUE,$R598=FALSE),AM595,IF(AND($R595=FALSE,$R598=TRUE),AM598,IF(AND($R595=TRUE,$R598=TRUE),AM595+AM598,MAX(AM595,AM598))))</f>
        <v>0</v>
      </c>
      <c r="AN599" s="591">
        <f t="shared" ref="AN599" si="1258">IF(AND($U595=TRUE,$U598=FALSE),AN595,IF(AND($U595=FALSE,$U598=TRUE),AN598,IF(AND($U595=TRUE,$U598=TRUE),AN595+AN598,MAX(AN595,AN598))))</f>
        <v>7</v>
      </c>
      <c r="AO599" s="591">
        <f t="shared" ref="AO599" si="1259">IF(AND($U595=TRUE,$U598=FALSE),AO595,IF(AND($U595=FALSE,$U598=TRUE),AO598,IF(AND($U595=TRUE,$U598=TRUE),AO595+AO598,MAX(AO595,AO598))))</f>
        <v>10</v>
      </c>
    </row>
    <row r="600" spans="1:41" ht="21" x14ac:dyDescent="0.2">
      <c r="B600" s="1700"/>
      <c r="C600" s="287"/>
      <c r="D600" s="25"/>
      <c r="E600" s="48"/>
      <c r="F600" s="709"/>
      <c r="G600" s="708"/>
      <c r="H600" s="709">
        <f>F600*G600</f>
        <v>0</v>
      </c>
      <c r="I600" s="1374"/>
      <c r="J600" s="1375"/>
      <c r="K600" s="31"/>
      <c r="L600" s="31"/>
      <c r="M600" s="31"/>
      <c r="N600" s="31"/>
      <c r="O600" s="1351"/>
      <c r="P600" s="1374"/>
      <c r="Q600" s="1375"/>
      <c r="R600" s="1351"/>
      <c r="S600" s="1350"/>
      <c r="T600" s="1343"/>
      <c r="U600" s="1351"/>
      <c r="V600" s="807"/>
      <c r="W600" s="821" t="s">
        <v>753</v>
      </c>
      <c r="X600" s="822"/>
      <c r="Y600" s="821"/>
      <c r="Z600" s="822"/>
      <c r="AA600" s="821"/>
      <c r="AB600" s="822"/>
      <c r="AD600" s="10"/>
      <c r="AE600" s="10"/>
      <c r="AF600" s="10"/>
      <c r="AG600" s="832">
        <f>IF($K600=TRUE,H600,0)</f>
        <v>0</v>
      </c>
      <c r="AH600" s="832">
        <f>IF($R600=TRUE,H600,0)</f>
        <v>0</v>
      </c>
      <c r="AI600" s="832"/>
      <c r="AJ600" s="1490">
        <f t="shared" ref="AJ600:AJ601" si="1260">IF(OR(I600=11,A600="F"),0,G600*I600)</f>
        <v>0</v>
      </c>
      <c r="AK600" s="1490">
        <f t="shared" ref="AK600:AK601" si="1261">IF(OR(J600=11,A600="F"),0,G600*J600)</f>
        <v>0</v>
      </c>
      <c r="AL600" s="1490">
        <f t="shared" ref="AL600:AL601" si="1262">IF(OR(P600=11,A600="F"),0,G600*P600)</f>
        <v>0</v>
      </c>
      <c r="AM600" s="1490">
        <f t="shared" ref="AM600:AM601" si="1263">IF(OR(Q600=11,A600="F"),0,G600*Q600)</f>
        <v>0</v>
      </c>
      <c r="AN600" s="1490">
        <f t="shared" ref="AN600:AN601" si="1264">IF(OR(S600=11,A600="F"),0,S600*G600)</f>
        <v>0</v>
      </c>
      <c r="AO600" s="1490">
        <f t="shared" ref="AO600:AO601" si="1265">IF(OR(T600=11,A600="F"),0,T600*G600)</f>
        <v>0</v>
      </c>
    </row>
    <row r="601" spans="1:41" ht="17" thickBot="1" x14ac:dyDescent="0.25">
      <c r="B601" s="1700"/>
      <c r="C601" s="287"/>
      <c r="D601" s="698"/>
      <c r="E601" s="48"/>
      <c r="F601" s="709"/>
      <c r="G601" s="708"/>
      <c r="H601" s="709">
        <f>F601*G601</f>
        <v>0</v>
      </c>
      <c r="I601" s="1374"/>
      <c r="J601" s="1375"/>
      <c r="K601" s="31"/>
      <c r="L601" s="31"/>
      <c r="M601" s="31"/>
      <c r="N601" s="31"/>
      <c r="O601" s="1351"/>
      <c r="P601" s="1374"/>
      <c r="Q601" s="1375"/>
      <c r="R601" s="1351"/>
      <c r="S601" s="1374"/>
      <c r="T601" s="1375"/>
      <c r="U601" s="1351"/>
      <c r="V601" s="807"/>
      <c r="W601" s="821"/>
      <c r="X601" s="822"/>
      <c r="Y601" s="821"/>
      <c r="Z601" s="822"/>
      <c r="AA601" s="821"/>
      <c r="AB601" s="822"/>
      <c r="AD601" s="10"/>
      <c r="AE601" s="10"/>
      <c r="AF601" s="10"/>
      <c r="AG601" s="832">
        <f>IF($K601=TRUE,H601,0)</f>
        <v>0</v>
      </c>
      <c r="AH601" s="832">
        <f>IF($R601=TRUE,H601,0)</f>
        <v>0</v>
      </c>
      <c r="AI601" s="832"/>
      <c r="AJ601" s="1490">
        <f t="shared" si="1260"/>
        <v>0</v>
      </c>
      <c r="AK601" s="1490">
        <f t="shared" si="1261"/>
        <v>0</v>
      </c>
      <c r="AL601" s="1490">
        <f t="shared" si="1262"/>
        <v>0</v>
      </c>
      <c r="AM601" s="1490">
        <f t="shared" si="1263"/>
        <v>0</v>
      </c>
      <c r="AN601" s="1490">
        <f t="shared" si="1264"/>
        <v>0</v>
      </c>
      <c r="AO601" s="1490">
        <f t="shared" si="1265"/>
        <v>0</v>
      </c>
    </row>
    <row r="602" spans="1:41" ht="17" thickBot="1" x14ac:dyDescent="0.25">
      <c r="B602" s="1700"/>
      <c r="C602" s="727" t="s">
        <v>611</v>
      </c>
      <c r="D602" s="728">
        <f>_xlfn.XLOOKUP(H602,H600:H601,D600:D601)</f>
        <v>0</v>
      </c>
      <c r="E602" s="728"/>
      <c r="F602" s="729"/>
      <c r="G602" s="729"/>
      <c r="H602" s="729">
        <f>IF(AND(K600=TRUE,K601=FALSE),H600,IF(AND(K600=FALSE,K601=TRUE),H601,MAX(H600,H601)))</f>
        <v>0</v>
      </c>
      <c r="I602" s="1356"/>
      <c r="J602" s="730"/>
      <c r="K602" s="731" t="b">
        <f>IF(AND(K600=FALSE,K601=FALSE),FALSE,TRUE)</f>
        <v>0</v>
      </c>
      <c r="L602" s="1339"/>
      <c r="M602" s="1339"/>
      <c r="N602" s="1339"/>
      <c r="O602" s="1357"/>
      <c r="P602" s="1356"/>
      <c r="Q602" s="730"/>
      <c r="R602" s="731" t="b">
        <f>IF(AND(R600=FALSE,R601=FALSE),FALSE,TRUE)</f>
        <v>0</v>
      </c>
      <c r="S602" s="1356"/>
      <c r="T602" s="730"/>
      <c r="U602" s="731"/>
      <c r="V602" s="807"/>
      <c r="W602" s="821" t="str">
        <f>IF(K602=TRUE,"V","F")</f>
        <v>F</v>
      </c>
      <c r="X602" s="822"/>
      <c r="Y602" s="821" t="str">
        <f>IF(R602=TRUE,"V","F")</f>
        <v>F</v>
      </c>
      <c r="Z602" s="822"/>
      <c r="AA602" s="821"/>
      <c r="AB602" s="822"/>
      <c r="AD602" s="10"/>
      <c r="AE602" s="10"/>
      <c r="AF602" s="10"/>
      <c r="AG602" s="1742">
        <f>IF(AND($K600=TRUE,$K601=FALSE),AG600,IF(AND($K600=FALSE,$K601=TRUE),AG601,IF(AND($K600=TRUE,$K601=TRUE),MAX(AG600,AG601),0)))</f>
        <v>0</v>
      </c>
      <c r="AH602" s="1742">
        <f>IF(AND($R600=TRUE,$R601=FALSE),AH600,IF(AND($R600=FALSE,$R601=TRUE),AH601,IF(AND($R600=TRUE,$R601=TRUE),MAX(AH600,AH601),0)))</f>
        <v>0</v>
      </c>
      <c r="AI602" s="1742"/>
      <c r="AJ602" s="1742">
        <f>IF(AND($K600=TRUE,$K601=FALSE),AJ600,IF(AND($K600=FALSE,$K601=TRUE),AJ601,IF(AND($K600=TRUE,$K601=TRUE),MAX(AJ600,AJ601),0)))</f>
        <v>0</v>
      </c>
      <c r="AK602" s="1742">
        <f>IF(AND($K600=TRUE,$K601=FALSE),AK600,IF(AND($K600=FALSE,$K601=TRUE),AK601,IF(AND($K600=TRUE,$K601=TRUE),MAX(AK600,AK601),0)))</f>
        <v>0</v>
      </c>
      <c r="AL602" s="1742">
        <f t="shared" ref="AL602" si="1266">IF(AND($R600=TRUE,$R601=FALSE),AL600,IF(AND($R600=FALSE,$R601=TRUE),AL601,IF(AND($R600=TRUE,$R601=TRUE),MAX(AL600,AL601),0)))</f>
        <v>0</v>
      </c>
      <c r="AM602" s="1742">
        <f t="shared" ref="AM602" si="1267">IF(AND($R600=TRUE,$R601=FALSE),AM600,IF(AND($R600=FALSE,$R601=TRUE),AM601,IF(AND($R600=TRUE,$R601=TRUE),MAX(AM600,AM601),0)))</f>
        <v>0</v>
      </c>
      <c r="AN602" s="1742"/>
      <c r="AO602" s="1742"/>
    </row>
    <row r="603" spans="1:41" ht="17" x14ac:dyDescent="0.2">
      <c r="B603" s="1700"/>
      <c r="D603" s="386" t="s">
        <v>273</v>
      </c>
      <c r="E603" s="705"/>
      <c r="F603" s="439" t="s">
        <v>349</v>
      </c>
      <c r="G603" s="33"/>
      <c r="H603" s="33">
        <f>IF(AND(K599=TRUE,K602=FALSE),H599,IF(AND(K599=FALSE,K602=TRUE),H602,IF(AND(K599=TRUE,K602=TRUE),H599+H602,MAX(H599,H602))))</f>
        <v>10</v>
      </c>
      <c r="I603" s="1358"/>
      <c r="J603" s="440"/>
      <c r="K603" s="1341"/>
      <c r="L603" s="1342"/>
      <c r="M603" s="1342"/>
      <c r="N603" s="1342"/>
      <c r="O603" s="1359"/>
      <c r="P603" s="1358"/>
      <c r="Q603" s="440"/>
      <c r="R603" s="1367"/>
      <c r="S603" s="1358"/>
      <c r="T603" s="440"/>
      <c r="U603" s="1367"/>
      <c r="V603" s="145"/>
      <c r="W603" s="823"/>
      <c r="X603" s="824">
        <f>IF(AND(W599="V",W602="V"),2,IF(OR(W599="V",W602="V"),1,0))</f>
        <v>0</v>
      </c>
      <c r="Y603" s="823"/>
      <c r="Z603" s="824">
        <f>IF(OR(Y599="V",Y602="V"),1,0)</f>
        <v>0</v>
      </c>
      <c r="AA603" s="823"/>
      <c r="AB603" s="824"/>
      <c r="AD603" s="10"/>
      <c r="AE603" s="10"/>
      <c r="AF603" s="10"/>
      <c r="AG603" s="1738">
        <f>IF(AND($W599="V",$W602="F"),AG599,IF(AND($W599="F",$W602="V"),AG602,IF(AND($W599="V",$W602="V"),AG599+AG602,0)))</f>
        <v>0</v>
      </c>
      <c r="AH603" s="1738">
        <f>IF(AND($Y599="V",$Y602="F"),AH599,IF(AND($Y599="F",$Y602="V"),AH602,IF(AND($Y599="V",$Y602="V"),AH599+AH602,0)))</f>
        <v>0</v>
      </c>
      <c r="AI603" s="1738"/>
      <c r="AJ603" s="1738">
        <f>IF(AND($W599="V",$W602="F"),AJ599,IF(AND($W599="F",$W602="V"),AJ602,IF(AND($W599="V",$W602="V"),AJ599+AJ602,0)))</f>
        <v>0</v>
      </c>
      <c r="AK603" s="1738">
        <f>IF(AND($W599="V",$W602="F"),AK599,IF(AND($W599="F",$W602="V"),AK602,IF(AND($W599="V",$W602="V"),AK599+AK602,0)))</f>
        <v>0</v>
      </c>
      <c r="AL603" s="1738">
        <f>IF(AND($Y599="V",$Y602="F"),AL599,IF(AND($Y599="F",$Y602="V"),AL602,IF(AND($Y599="V",$Y602="V"),AL599+AL602,0)))</f>
        <v>0</v>
      </c>
      <c r="AM603" s="1738">
        <f>IF(AND($Y599="V",$Y602="F"),AM599,IF(AND($Y599="F",$Y602="V"),AM602,IF(AND($Y599="V",$Y602="V"),AM599+AM602,0)))</f>
        <v>0</v>
      </c>
      <c r="AN603" s="1738"/>
      <c r="AO603" s="1738"/>
    </row>
    <row r="604" spans="1:41" ht="16" x14ac:dyDescent="0.2">
      <c r="B604" s="1700"/>
      <c r="C604" t="s">
        <v>238</v>
      </c>
      <c r="I604" s="122"/>
      <c r="L604" s="32"/>
      <c r="M604" s="32"/>
      <c r="N604" s="32"/>
      <c r="O604" s="1379"/>
      <c r="P604" s="122"/>
      <c r="R604" s="292"/>
      <c r="S604" s="122"/>
      <c r="U604" s="292"/>
      <c r="V604" s="32"/>
      <c r="W604" s="821"/>
      <c r="X604" s="822"/>
      <c r="Y604" s="821"/>
      <c r="Z604" s="822"/>
      <c r="AA604" s="821"/>
      <c r="AB604" s="822"/>
      <c r="AD604" s="10"/>
      <c r="AE604" s="10"/>
      <c r="AF604" s="10"/>
      <c r="AG604" s="832"/>
      <c r="AH604" s="832"/>
      <c r="AI604" s="832"/>
      <c r="AJ604" s="1490"/>
      <c r="AK604" s="1490"/>
      <c r="AL604" s="1490"/>
      <c r="AM604" s="1490"/>
      <c r="AN604" s="1490"/>
      <c r="AO604" s="1490"/>
    </row>
    <row r="605" spans="1:41" ht="34" x14ac:dyDescent="0.2">
      <c r="A605" t="str">
        <f>IF(Test_Bible!B137="","F","O")</f>
        <v>O</v>
      </c>
      <c r="B605" s="1700" t="e">
        <f>#REF!</f>
        <v>#REF!</v>
      </c>
      <c r="C605" s="825" t="str">
        <f>'Cpts AR +indép + Sommaire'!U89</f>
        <v>PCR19</v>
      </c>
      <c r="D605" s="826" t="str">
        <f>'Cpts AR +indép + Sommaire'!V89</f>
        <v>Dans quelle mesure considérez-vous l'autre parent comme étant votre égal·e sur le plan parental ?</v>
      </c>
      <c r="E605" s="826"/>
      <c r="F605" s="830">
        <f>'Cpts AR +indép + Sommaire'!W89</f>
        <v>4</v>
      </c>
      <c r="G605" s="830">
        <f>'Cpts AR +indép + Sommaire'!X89</f>
        <v>1</v>
      </c>
      <c r="H605" s="830">
        <f>F605*G605</f>
        <v>4</v>
      </c>
      <c r="I605" s="1374">
        <v>11</v>
      </c>
      <c r="J605" s="1375">
        <v>11</v>
      </c>
      <c r="K605" s="31" t="b">
        <f>IF(AND(F605&gt;=I605,F605&lt;=J605),TRUE,FALSE)</f>
        <v>0</v>
      </c>
      <c r="L605" s="26"/>
      <c r="M605" s="26"/>
      <c r="N605" s="26"/>
      <c r="O605" s="1360"/>
      <c r="P605" s="1374">
        <v>11</v>
      </c>
      <c r="Q605" s="1375">
        <v>11</v>
      </c>
      <c r="R605" s="1351" t="b">
        <f>IF(AND(F605&gt;=P605,F605&lt;=Q605),TRUE,FALSE)</f>
        <v>0</v>
      </c>
      <c r="S605" s="1350">
        <v>7</v>
      </c>
      <c r="T605" s="1343">
        <v>10</v>
      </c>
      <c r="U605" s="1351" t="b">
        <f>IF(AND(F605&gt;=S605,F605&lt;=T605),TRUE,FALSE)</f>
        <v>0</v>
      </c>
      <c r="V605" s="1327"/>
      <c r="W605" s="821"/>
      <c r="X605" s="822"/>
      <c r="Y605" s="821"/>
      <c r="Z605" s="822"/>
      <c r="AA605" s="821"/>
      <c r="AB605" s="822"/>
      <c r="AD605" s="10"/>
      <c r="AE605" s="10"/>
      <c r="AF605" s="10"/>
      <c r="AG605" s="832">
        <f>IF($K605=TRUE,H605,0)</f>
        <v>0</v>
      </c>
      <c r="AH605" s="832">
        <f>IF($R605=TRUE,H605,0)</f>
        <v>0</v>
      </c>
      <c r="AI605" s="832">
        <f>IF($U605=TRUE,H605,0)</f>
        <v>0</v>
      </c>
      <c r="AJ605" s="1490">
        <f t="shared" ref="AJ605:AJ606" si="1268">IF(OR(I605=11,A605="F"),0,G605*I605)</f>
        <v>0</v>
      </c>
      <c r="AK605" s="1490">
        <f t="shared" ref="AK605:AK606" si="1269">IF(OR(J605=11,A605="F"),0,G605*J605)</f>
        <v>0</v>
      </c>
      <c r="AL605" s="1490">
        <f t="shared" ref="AL605:AL606" si="1270">IF(OR(P605=11,A605="F"),0,G605*P605)</f>
        <v>0</v>
      </c>
      <c r="AM605" s="1490">
        <f t="shared" ref="AM605:AM606" si="1271">IF(OR(Q605=11,A605="F"),0,G605*Q605)</f>
        <v>0</v>
      </c>
      <c r="AN605" s="1490">
        <f t="shared" ref="AN605:AN606" si="1272">IF(OR(S605=11,A605="F"),0,S605*G605)</f>
        <v>7</v>
      </c>
      <c r="AO605" s="1490">
        <f t="shared" ref="AO605:AO606" si="1273">IF(OR(T605=11,A605="F"),0,T605*G605)</f>
        <v>10</v>
      </c>
    </row>
    <row r="606" spans="1:41" ht="20" thickBot="1" x14ac:dyDescent="0.25">
      <c r="B606" s="1700"/>
      <c r="C606" s="1336"/>
      <c r="D606" s="1337"/>
      <c r="E606" s="826"/>
      <c r="F606" s="830"/>
      <c r="G606" s="830"/>
      <c r="H606" s="830">
        <f>F606*G606</f>
        <v>0</v>
      </c>
      <c r="I606" s="1374">
        <v>11</v>
      </c>
      <c r="J606" s="1375">
        <v>11</v>
      </c>
      <c r="K606" s="31" t="b">
        <f>IF(AND(F606&gt;=I606,F606&lt;=J606),TRUE,FALSE)</f>
        <v>0</v>
      </c>
      <c r="L606" s="26"/>
      <c r="M606" s="26"/>
      <c r="N606" s="26"/>
      <c r="O606" s="1360"/>
      <c r="P606" s="1374">
        <v>11</v>
      </c>
      <c r="Q606" s="1375">
        <v>11</v>
      </c>
      <c r="R606" s="1351" t="b">
        <f>IF(AND(F606&gt;=P606,F606&lt;=Q606),TRUE,FALSE)</f>
        <v>0</v>
      </c>
      <c r="S606" s="1374">
        <v>11</v>
      </c>
      <c r="T606" s="1375">
        <v>11</v>
      </c>
      <c r="U606" s="1351" t="b">
        <f>IF(AND(F606&gt;=S606,F606&lt;=T606),TRUE,FALSE)</f>
        <v>0</v>
      </c>
      <c r="W606" s="821"/>
      <c r="X606" s="822"/>
      <c r="Y606" s="821"/>
      <c r="Z606" s="822"/>
      <c r="AA606" s="821"/>
      <c r="AB606" s="822"/>
      <c r="AD606" s="10"/>
      <c r="AE606" s="10"/>
      <c r="AF606" s="10"/>
      <c r="AG606" s="832">
        <f>IF($K606=TRUE,H606,0)</f>
        <v>0</v>
      </c>
      <c r="AH606" s="832">
        <f>IF($R606=TRUE,H606,0)</f>
        <v>0</v>
      </c>
      <c r="AI606" s="832">
        <f>IF($U606=TRUE,H606,0)</f>
        <v>0</v>
      </c>
      <c r="AJ606" s="1490">
        <f t="shared" si="1268"/>
        <v>0</v>
      </c>
      <c r="AK606" s="1490">
        <f t="shared" si="1269"/>
        <v>0</v>
      </c>
      <c r="AL606" s="1490">
        <f t="shared" si="1270"/>
        <v>0</v>
      </c>
      <c r="AM606" s="1490">
        <f t="shared" si="1271"/>
        <v>0</v>
      </c>
      <c r="AN606" s="1490">
        <f t="shared" si="1272"/>
        <v>0</v>
      </c>
      <c r="AO606" s="1490">
        <f t="shared" si="1273"/>
        <v>0</v>
      </c>
    </row>
    <row r="607" spans="1:41" ht="27" thickBot="1" x14ac:dyDescent="0.35">
      <c r="B607" s="1700"/>
      <c r="E607" s="732"/>
      <c r="F607" s="73"/>
      <c r="G607" s="73"/>
      <c r="H607" s="33">
        <f>IF(AND(K605=TRUE,K606=FALSE),H605,IF(AND(K605=FALSE,K606=TRUE),H606,MAX(H605,H606)))</f>
        <v>4</v>
      </c>
      <c r="I607" s="1371"/>
      <c r="J607" s="1372"/>
      <c r="K607" s="1378" t="b">
        <f>IF(AND(K605=FALSE,K606=FALSE),FALSE,TRUE)</f>
        <v>0</v>
      </c>
      <c r="L607" s="1361"/>
      <c r="M607" s="1362"/>
      <c r="N607" s="1362"/>
      <c r="O607" s="1363"/>
      <c r="P607" s="1371"/>
      <c r="Q607" s="1372"/>
      <c r="R607" s="1378" t="b">
        <f>IF(AND(R605=FALSE,R606=FALSE),FALSE,TRUE)</f>
        <v>0</v>
      </c>
      <c r="S607" s="1383"/>
      <c r="T607" s="1384"/>
      <c r="U607" s="1385" t="b">
        <f>IF(AND(U605=FALSE,U606=FALSE),FALSE,TRUE)</f>
        <v>0</v>
      </c>
      <c r="V607" s="73"/>
      <c r="W607" s="1315" t="str">
        <f>IF(K607=TRUE,"V","F")</f>
        <v>F</v>
      </c>
      <c r="X607" s="1316"/>
      <c r="Y607" s="1315" t="str">
        <f>IF(R607=TRUE,"V","F")</f>
        <v>F</v>
      </c>
      <c r="Z607" s="1316"/>
      <c r="AA607" s="1315" t="str">
        <f>IF(U607=TRUE,"V","F")</f>
        <v>F</v>
      </c>
      <c r="AB607" s="1316"/>
      <c r="AD607" s="10"/>
      <c r="AE607" s="10"/>
      <c r="AF607" s="10"/>
      <c r="AG607" s="1742">
        <f>IF(AND($K605=TRUE,$K606=FALSE),AG605,IF(AND($K605=FALSE,$K606=TRUE),AG606,MAX(AG605,AG606)))</f>
        <v>0</v>
      </c>
      <c r="AH607" s="1742">
        <f>IF(AND($R605=TRUE,$R606=FALSE),AH605,IF(AND($R605=FALSE,$R606=TRUE),AH606,MAX(AH605,AH606)))</f>
        <v>0</v>
      </c>
      <c r="AI607" s="1742">
        <f>IF(AND($U605=TRUE,$U606=FALSE),AI605,IF(AND($U605=FALSE,$U606=TRUE),AI606,MAX(AI605,AI606)))</f>
        <v>0</v>
      </c>
      <c r="AJ607" s="1742">
        <f>IF(AND($K605=TRUE,$K606=FALSE),AJ605,IF(AND($K605=FALSE,$K606=TRUE),AJ606,MAX(AJ605,AJ606)))</f>
        <v>0</v>
      </c>
      <c r="AK607" s="1742">
        <f>IF(AND($K605=TRUE,$K606=FALSE),AK605,IF(AND($K605=FALSE,$K606=TRUE),AK606,MAX(AK605,AK606)))</f>
        <v>0</v>
      </c>
      <c r="AL607" s="1742">
        <f>IF(AND($R605=TRUE,$R606=FALSE),AL605,IF(AND($R605=FALSE,$R606=TRUE),AL606,MAX(AL605,AL606)))</f>
        <v>0</v>
      </c>
      <c r="AM607" s="1742">
        <f>IF(AND($R605=TRUE,$R606=FALSE),AM605,IF(AND($R605=FALSE,$R606=TRUE),AM606,MAX(AM605,AM606)))</f>
        <v>0</v>
      </c>
      <c r="AN607" s="1742">
        <f>IF(AND($U605=TRUE,$U606=FALSE),AN605,IF(AND($U605=FALSE,$U606=TRUE),AN606,MAX(AN605,AN606)))</f>
        <v>7</v>
      </c>
      <c r="AO607" s="1742">
        <f>IF(AND($U605=TRUE,$U606=FALSE),AO605,IF(AND($U605=FALSE,$U606=TRUE),AO606,MAX(AO605,AO606)))</f>
        <v>10</v>
      </c>
    </row>
    <row r="608" spans="1:41" ht="21" x14ac:dyDescent="0.25">
      <c r="B608" s="1700"/>
      <c r="W608" s="1376"/>
      <c r="X608" s="1377">
        <f>IF(AND(W607="V",W599="V"),X603-1,X603)</f>
        <v>0</v>
      </c>
      <c r="Y608" s="1376"/>
      <c r="Z608" s="1377">
        <f>IF(OR(Y599="V",Y602="V",Y607="V"),1,0)</f>
        <v>0</v>
      </c>
      <c r="AA608" s="1376"/>
      <c r="AB608" s="1377">
        <f>IF(AA599="V",1,IF(AA607="V",1,0))</f>
        <v>1</v>
      </c>
      <c r="AD608" s="10">
        <f>X608</f>
        <v>0</v>
      </c>
      <c r="AE608" s="10">
        <f>Z608</f>
        <v>0</v>
      </c>
      <c r="AF608" s="10">
        <f>AB608</f>
        <v>1</v>
      </c>
      <c r="AG608" s="1741">
        <f>IF($W607="F",AG603,AG603+AG607)</f>
        <v>0</v>
      </c>
      <c r="AH608" s="1741">
        <f>IF($Y607="F",AH603,AH603+AH607)</f>
        <v>0</v>
      </c>
      <c r="AI608" s="1741">
        <f>IF(AND($AA599="V",$AA607="F"),AI599,IF(AND($AA599="F",$AA607="V"),AI607,IF(AND($AA599="V",$AA607="V"),AI599+AI607,0)))</f>
        <v>10</v>
      </c>
      <c r="AJ608" s="1741">
        <f>IF($W607="F",AJ603,AJ603+AJ607)</f>
        <v>0</v>
      </c>
      <c r="AK608" s="1741">
        <f t="shared" ref="AK608" si="1274">IF($W607="F",AK603,AK603+AK607)</f>
        <v>0</v>
      </c>
      <c r="AL608" s="1741">
        <f t="shared" ref="AL608" si="1275">IF($Y607="F",AL603,AL603+AL607)</f>
        <v>0</v>
      </c>
      <c r="AM608" s="1741">
        <f t="shared" ref="AM608" si="1276">IF($Y607="F",AM603,AM603+AM607)</f>
        <v>0</v>
      </c>
      <c r="AN608" s="1741">
        <f t="shared" ref="AN608" si="1277">IF(AND($AA599="V",$AA607="F"),AN599,IF(AND($AA599="F",$AA607="V"),AN607,IF(AND($AA599="V",$AA607="V"),AN599+AN607,0)))</f>
        <v>7</v>
      </c>
      <c r="AO608" s="1741">
        <f t="shared" ref="AO608" si="1278">IF(AND($AA599="V",$AA607="F"),AO599,IF(AND($AA599="F",$AA607="V"),AO607,IF(AND($AA599="V",$AA607="V"),AO599+AO607,0)))</f>
        <v>10</v>
      </c>
    </row>
    <row r="609" spans="1:41" ht="16" x14ac:dyDescent="0.2">
      <c r="B609" s="1700"/>
      <c r="W609" s="1387"/>
      <c r="X609" s="1388"/>
      <c r="Y609" s="1231"/>
      <c r="AD609" s="10"/>
      <c r="AE609" s="10"/>
      <c r="AF609" s="10"/>
    </row>
    <row r="610" spans="1:41" x14ac:dyDescent="0.3">
      <c r="E610" s="85" t="s">
        <v>268</v>
      </c>
      <c r="F610" s="2593" t="s">
        <v>254</v>
      </c>
      <c r="G610" s="2593"/>
      <c r="H610" s="2593"/>
      <c r="I610" s="2593"/>
      <c r="J610" s="2593"/>
      <c r="K610" s="703"/>
      <c r="L610" s="2594"/>
      <c r="M610" s="2594"/>
      <c r="N610" s="2594"/>
      <c r="O610" s="703"/>
      <c r="P610" s="703"/>
      <c r="Q610" s="703"/>
      <c r="R610" s="703"/>
      <c r="S610" s="703"/>
      <c r="T610" s="703"/>
      <c r="U610" s="703"/>
      <c r="V610" s="73"/>
      <c r="AD610" s="10"/>
      <c r="AE610" s="10"/>
      <c r="AF610" s="10"/>
    </row>
    <row r="611" spans="1:41" x14ac:dyDescent="0.3">
      <c r="B611" s="1699">
        <v>4</v>
      </c>
      <c r="D611" s="441" t="e">
        <f>'Cpts AR +indép + Sommaire'!B91</f>
        <v>#REF!</v>
      </c>
      <c r="E611" s="84"/>
      <c r="F611" s="50"/>
      <c r="G611" s="18"/>
      <c r="H611" s="18"/>
      <c r="I611" s="2595" t="s">
        <v>604</v>
      </c>
      <c r="J611" s="2596"/>
      <c r="K611" s="2596"/>
      <c r="L611" s="2597" t="s">
        <v>1086</v>
      </c>
      <c r="M611" s="2597"/>
      <c r="N611" s="2597"/>
      <c r="O611" s="2598"/>
      <c r="P611" s="2599" t="s">
        <v>603</v>
      </c>
      <c r="Q611" s="2600"/>
      <c r="R611" s="2601"/>
      <c r="S611" s="2590" t="s">
        <v>605</v>
      </c>
      <c r="T611" s="2591"/>
      <c r="U611" s="2592"/>
      <c r="V611" s="15"/>
      <c r="W611" s="817"/>
      <c r="X611" s="817"/>
      <c r="Y611" s="817"/>
      <c r="Z611" s="817"/>
      <c r="AA611" s="817"/>
      <c r="AB611" s="818"/>
      <c r="AD611" s="10"/>
      <c r="AE611" s="10"/>
      <c r="AF611" s="10"/>
      <c r="AG611" s="1386" t="s">
        <v>604</v>
      </c>
      <c r="AH611" s="1386" t="s">
        <v>603</v>
      </c>
      <c r="AI611" s="1386" t="s">
        <v>605</v>
      </c>
      <c r="AJ611" s="2589" t="s">
        <v>604</v>
      </c>
      <c r="AK611" s="2589"/>
      <c r="AL611" s="2589" t="s">
        <v>603</v>
      </c>
      <c r="AM611" s="2589"/>
      <c r="AN611" s="2589" t="s">
        <v>605</v>
      </c>
      <c r="AO611" s="2589"/>
    </row>
    <row r="612" spans="1:41" ht="34" x14ac:dyDescent="0.2">
      <c r="B612" s="1700"/>
      <c r="D612" s="79" t="s">
        <v>779</v>
      </c>
      <c r="E612" s="835"/>
      <c r="F612" s="26" t="s">
        <v>226</v>
      </c>
      <c r="G612" s="26" t="s">
        <v>22</v>
      </c>
      <c r="H612" s="26" t="s">
        <v>612</v>
      </c>
      <c r="I612" s="1348" t="s">
        <v>269</v>
      </c>
      <c r="J612" s="29" t="s">
        <v>270</v>
      </c>
      <c r="K612" s="29" t="s">
        <v>271</v>
      </c>
      <c r="L612" s="29" t="s">
        <v>363</v>
      </c>
      <c r="M612" s="29" t="s">
        <v>339</v>
      </c>
      <c r="N612" s="29" t="s">
        <v>340</v>
      </c>
      <c r="O612" s="1349" t="s">
        <v>341</v>
      </c>
      <c r="P612" s="1348" t="s">
        <v>269</v>
      </c>
      <c r="Q612" s="29" t="s">
        <v>270</v>
      </c>
      <c r="R612" s="1349" t="s">
        <v>271</v>
      </c>
      <c r="S612" s="1348" t="s">
        <v>269</v>
      </c>
      <c r="T612" s="29" t="s">
        <v>270</v>
      </c>
      <c r="U612" s="1349" t="s">
        <v>271</v>
      </c>
      <c r="V612" s="736"/>
      <c r="W612" s="827" t="s">
        <v>604</v>
      </c>
      <c r="X612" s="828" t="s">
        <v>754</v>
      </c>
      <c r="Y612" s="827" t="s">
        <v>603</v>
      </c>
      <c r="Z612" s="828" t="s">
        <v>755</v>
      </c>
      <c r="AA612" s="827" t="s">
        <v>605</v>
      </c>
      <c r="AB612" s="828" t="s">
        <v>756</v>
      </c>
      <c r="AD612" s="10"/>
      <c r="AE612" s="10"/>
      <c r="AF612" s="10"/>
      <c r="AG612" s="10"/>
      <c r="AH612" s="10"/>
      <c r="AI612" s="10"/>
      <c r="AJ612" s="1490" t="s">
        <v>1058</v>
      </c>
      <c r="AK612" s="1490" t="s">
        <v>1059</v>
      </c>
      <c r="AL612" s="1490" t="s">
        <v>1058</v>
      </c>
      <c r="AM612" s="1490" t="s">
        <v>1059</v>
      </c>
      <c r="AN612" s="1490" t="s">
        <v>1058</v>
      </c>
      <c r="AO612" s="1490" t="s">
        <v>1059</v>
      </c>
    </row>
    <row r="613" spans="1:41" ht="21" x14ac:dyDescent="0.2">
      <c r="A613" t="str">
        <f>IF(Test_Bible!B221="","F","O")</f>
        <v>O</v>
      </c>
      <c r="B613" s="1700"/>
      <c r="C613" s="379" t="str">
        <f>'Cpts AR +indép + Sommaire'!C91</f>
        <v>PFA29</v>
      </c>
      <c r="D613" s="25" t="str">
        <f>'Cpts AR +indép + Sommaire'!D91</f>
        <v>L'autre parent prend des décisions sans vous consulter.</v>
      </c>
      <c r="E613" s="78"/>
      <c r="F613" s="709">
        <f>'Cpts AR +indép + Sommaire'!E91</f>
        <v>7</v>
      </c>
      <c r="G613" s="709">
        <f>'Cpts AR +indép + Sommaire'!F91</f>
        <v>2</v>
      </c>
      <c r="H613" s="709">
        <f>F613*G613</f>
        <v>14</v>
      </c>
      <c r="I613" s="1374">
        <v>11</v>
      </c>
      <c r="J613" s="1375">
        <v>11</v>
      </c>
      <c r="K613" s="31" t="b">
        <f>IF(AND(F613&gt;=I613,F613&lt;=J613),TRUE,FALSE)</f>
        <v>0</v>
      </c>
      <c r="L613" s="31"/>
      <c r="M613" s="31"/>
      <c r="N613" s="31"/>
      <c r="O613" s="1351"/>
      <c r="P613" s="1374">
        <v>11</v>
      </c>
      <c r="Q613" s="1375">
        <v>11</v>
      </c>
      <c r="R613" s="1351" t="b">
        <f>IF(AND(F613&gt;=P613,F613&lt;=Q613),TRUE,FALSE)</f>
        <v>0</v>
      </c>
      <c r="S613" s="1350">
        <v>7</v>
      </c>
      <c r="T613" s="1343">
        <v>10</v>
      </c>
      <c r="U613" s="1351" t="b">
        <f>IF(AND(F613&gt;=S613,F613&lt;=T613),TRUE,FALSE)</f>
        <v>1</v>
      </c>
      <c r="V613" s="1327"/>
      <c r="W613" s="819"/>
      <c r="X613" s="820"/>
      <c r="Y613" s="819"/>
      <c r="Z613" s="820"/>
      <c r="AA613" s="819"/>
      <c r="AB613" s="820"/>
      <c r="AD613" s="10"/>
      <c r="AE613" s="10"/>
      <c r="AF613" s="10"/>
      <c r="AG613" s="832">
        <f>IF($K613=TRUE,H613,0)</f>
        <v>0</v>
      </c>
      <c r="AH613" s="832">
        <f>IF($R613=TRUE,H613,0)</f>
        <v>0</v>
      </c>
      <c r="AI613" s="832">
        <f>IF($U613=TRUE,H613,0)</f>
        <v>14</v>
      </c>
      <c r="AJ613" s="1490">
        <f t="shared" ref="AJ613:AJ614" si="1279">IF(OR(I613=11,A613="F"),0,G613*I613)</f>
        <v>0</v>
      </c>
      <c r="AK613" s="1490">
        <f t="shared" ref="AK613:AK614" si="1280">IF(OR(J613=11,A613="F"),0,G613*J613)</f>
        <v>0</v>
      </c>
      <c r="AL613" s="1490">
        <f t="shared" ref="AL613:AL614" si="1281">IF(OR(P613=11,A613="F"),0,G613*P613)</f>
        <v>0</v>
      </c>
      <c r="AM613" s="1490">
        <f t="shared" ref="AM613:AM614" si="1282">IF(OR(Q613=11,A613="F"),0,G613*Q613)</f>
        <v>0</v>
      </c>
      <c r="AN613" s="1490">
        <f t="shared" ref="AN613:AN614" si="1283">IF(OR(S613=11,A613="F"),0,S613*G613)</f>
        <v>14</v>
      </c>
      <c r="AO613" s="1490">
        <f t="shared" ref="AO613:AO614" si="1284">IF(OR(T613=11,A613="F"),0,T613*G613)</f>
        <v>20</v>
      </c>
    </row>
    <row r="614" spans="1:41" ht="16" x14ac:dyDescent="0.2">
      <c r="B614" s="1700"/>
      <c r="C614" s="379"/>
      <c r="D614" s="25"/>
      <c r="E614" s="78"/>
      <c r="F614" s="709"/>
      <c r="G614" s="708"/>
      <c r="H614" s="709">
        <f>F614*G614</f>
        <v>0</v>
      </c>
      <c r="I614" s="1374">
        <v>11</v>
      </c>
      <c r="J614" s="1375">
        <v>11</v>
      </c>
      <c r="K614" s="31" t="b">
        <f>IF(AND(F614&gt;=I614,F614&lt;=J614),TRUE,FALSE)</f>
        <v>0</v>
      </c>
      <c r="L614" s="31"/>
      <c r="M614" s="31"/>
      <c r="N614" s="31"/>
      <c r="O614" s="1351"/>
      <c r="P614" s="1374">
        <v>11</v>
      </c>
      <c r="Q614" s="1375">
        <v>11</v>
      </c>
      <c r="R614" s="1351" t="b">
        <f>IF(AND(F614&gt;=P614,F614&lt;=Q614),TRUE,FALSE)</f>
        <v>0</v>
      </c>
      <c r="S614" s="1374">
        <v>11</v>
      </c>
      <c r="T614" s="1375">
        <v>11</v>
      </c>
      <c r="U614" s="1351" t="b">
        <f>IF(AND(F614&gt;=S614,F614&lt;=T614),TRUE,FALSE)</f>
        <v>0</v>
      </c>
      <c r="V614" s="807"/>
      <c r="W614" s="821"/>
      <c r="X614" s="822"/>
      <c r="Y614" s="821"/>
      <c r="Z614" s="822"/>
      <c r="AA614" s="821"/>
      <c r="AB614" s="822"/>
      <c r="AD614" s="10"/>
      <c r="AE614" s="10"/>
      <c r="AF614" s="10"/>
      <c r="AG614" s="832">
        <f>IF($K614=TRUE,H614,0)</f>
        <v>0</v>
      </c>
      <c r="AH614" s="832">
        <f>IF($R614=TRUE,H614,0)</f>
        <v>0</v>
      </c>
      <c r="AI614" s="832">
        <f>IF($U614=TRUE,H614,0)</f>
        <v>0</v>
      </c>
      <c r="AJ614" s="1490">
        <f t="shared" si="1279"/>
        <v>0</v>
      </c>
      <c r="AK614" s="1490">
        <f t="shared" si="1280"/>
        <v>0</v>
      </c>
      <c r="AL614" s="1490">
        <f t="shared" si="1281"/>
        <v>0</v>
      </c>
      <c r="AM614" s="1490">
        <f t="shared" si="1282"/>
        <v>0</v>
      </c>
      <c r="AN614" s="1490">
        <f t="shared" si="1283"/>
        <v>0</v>
      </c>
      <c r="AO614" s="1490">
        <f t="shared" si="1284"/>
        <v>0</v>
      </c>
    </row>
    <row r="615" spans="1:41" ht="17" x14ac:dyDescent="0.2">
      <c r="B615" s="1700"/>
      <c r="C615" s="710" t="s">
        <v>609</v>
      </c>
      <c r="D615" s="711" t="str">
        <f>_xlfn.XLOOKUP(H615,H613:H614,D613:D614)</f>
        <v>L'autre parent prend des décisions sans vous consulter.</v>
      </c>
      <c r="E615" s="712"/>
      <c r="F615" s="713"/>
      <c r="G615" s="713"/>
      <c r="H615" s="713">
        <f>IF(AND(K613=TRUE,K614=FALSE),H613,IF(AND(K613=FALSE,K614=TRUE),H614,MAX(H613,H614)))</f>
        <v>14</v>
      </c>
      <c r="I615" s="1352"/>
      <c r="J615" s="714"/>
      <c r="K615" s="715" t="b">
        <f>IF(AND(K613=FALSE,K614=FALSE),FALSE,TRUE)</f>
        <v>0</v>
      </c>
      <c r="L615" s="31"/>
      <c r="M615" s="31"/>
      <c r="N615" s="31"/>
      <c r="O615" s="1351"/>
      <c r="P615" s="1352"/>
      <c r="Q615" s="714"/>
      <c r="R615" s="1365" t="b">
        <f>IF(AND(R613=FALSE,R614=FALSE),FALSE,TRUE)</f>
        <v>0</v>
      </c>
      <c r="S615" s="1352"/>
      <c r="T615" s="714"/>
      <c r="U615" s="1365" t="b">
        <f>IF(AND(U613=FALSE,U614=FALSE),FALSE,TRUE)</f>
        <v>1</v>
      </c>
      <c r="V615" s="807"/>
      <c r="W615" s="821"/>
      <c r="X615" s="822"/>
      <c r="Y615" s="821"/>
      <c r="Z615" s="822"/>
      <c r="AA615" s="821"/>
      <c r="AB615" s="822"/>
      <c r="AD615" s="10"/>
      <c r="AE615" s="10"/>
      <c r="AF615" s="10"/>
      <c r="AG615" s="1740">
        <f>IF($K615=TRUE,MAX(AG613:AG614),0)</f>
        <v>0</v>
      </c>
      <c r="AH615" s="1740">
        <f>IF($R615=TRUE,MAX(AH613:AH614),0)</f>
        <v>0</v>
      </c>
      <c r="AI615" s="1740">
        <f>IF($U615=TRUE,MAX(AI613:AI614),0)</f>
        <v>14</v>
      </c>
      <c r="AJ615" s="1739">
        <f>MAX(AJ613:AJ614)</f>
        <v>0</v>
      </c>
      <c r="AK615" s="1739">
        <f t="shared" ref="AK615" si="1285">MAX(AK613:AK614)</f>
        <v>0</v>
      </c>
      <c r="AL615" s="1739">
        <f t="shared" ref="AL615" si="1286">MAX(AL613:AL614)</f>
        <v>0</v>
      </c>
      <c r="AM615" s="1739">
        <f t="shared" ref="AM615" si="1287">MAX(AM613:AM614)</f>
        <v>0</v>
      </c>
      <c r="AN615" s="1739">
        <f t="shared" ref="AN615" si="1288">MAX(AN613:AN614)</f>
        <v>14</v>
      </c>
      <c r="AO615" s="1739">
        <f t="shared" ref="AO615" si="1289">MAX(AO613:AO614)</f>
        <v>20</v>
      </c>
    </row>
    <row r="616" spans="1:41" ht="16" x14ac:dyDescent="0.2">
      <c r="B616" s="1700"/>
      <c r="C616" s="38"/>
      <c r="D616" s="25"/>
      <c r="E616" s="78"/>
      <c r="F616" s="709"/>
      <c r="G616" s="708"/>
      <c r="H616" s="709">
        <f>F616*G616</f>
        <v>0</v>
      </c>
      <c r="I616" s="1374">
        <v>11</v>
      </c>
      <c r="J616" s="1375">
        <v>11</v>
      </c>
      <c r="K616" s="31" t="b">
        <f>IF(AND(F616&gt;=I616,F616&lt;=J616),TRUE,FALSE)</f>
        <v>0</v>
      </c>
      <c r="L616" s="31"/>
      <c r="M616" s="31"/>
      <c r="N616" s="31"/>
      <c r="O616" s="1351"/>
      <c r="P616" s="1374">
        <v>11</v>
      </c>
      <c r="Q616" s="1375">
        <v>11</v>
      </c>
      <c r="R616" s="1351" t="b">
        <f>IF(AND(F616&gt;=P616,F616&lt;=Q616),TRUE,FALSE)</f>
        <v>0</v>
      </c>
      <c r="S616" s="1374">
        <v>11</v>
      </c>
      <c r="T616" s="1375">
        <v>11</v>
      </c>
      <c r="U616" s="1351" t="b">
        <f>IF(AND(F616&gt;=S616,F616&lt;=T616),TRUE,FALSE)</f>
        <v>0</v>
      </c>
      <c r="V616" s="807"/>
      <c r="W616" s="821"/>
      <c r="X616" s="822"/>
      <c r="Y616" s="821"/>
      <c r="Z616" s="822"/>
      <c r="AA616" s="821"/>
      <c r="AB616" s="822"/>
      <c r="AD616" s="10"/>
      <c r="AE616" s="10"/>
      <c r="AF616" s="10"/>
      <c r="AG616" s="832">
        <f>IF(K616=TRUE,H616,0)</f>
        <v>0</v>
      </c>
      <c r="AH616" s="832">
        <f>IF(R616=TRUE,H616,0)</f>
        <v>0</v>
      </c>
      <c r="AI616" s="832">
        <f>IF(U616=TRUE,H616,0)</f>
        <v>0</v>
      </c>
      <c r="AJ616" s="1490">
        <f t="shared" ref="AJ616:AJ617" si="1290">IF(OR(I616=11,A616="F"),0,G616*I616)</f>
        <v>0</v>
      </c>
      <c r="AK616" s="1490">
        <f t="shared" ref="AK616:AK617" si="1291">IF(OR(J616=11,A616="F"),0,G616*J616)</f>
        <v>0</v>
      </c>
      <c r="AL616" s="1490">
        <f t="shared" ref="AL616:AL617" si="1292">IF(OR(P616=11,A616="F"),0,G616*P616)</f>
        <v>0</v>
      </c>
      <c r="AM616" s="1490">
        <f t="shared" ref="AM616:AM617" si="1293">IF(OR(Q616=11,A616="F"),0,G616*Q616)</f>
        <v>0</v>
      </c>
      <c r="AN616" s="1490">
        <f t="shared" ref="AN616:AN617" si="1294">IF(OR(S616=11,A616="F"),0,S616*G616)</f>
        <v>0</v>
      </c>
      <c r="AO616" s="1490">
        <f t="shared" ref="AO616:AO617" si="1295">IF(OR(T616=11,A616="F"),0,T616*G616)</f>
        <v>0</v>
      </c>
    </row>
    <row r="617" spans="1:41" ht="16" x14ac:dyDescent="0.2">
      <c r="B617" s="1700"/>
      <c r="C617" s="38"/>
      <c r="D617" s="25"/>
      <c r="E617" s="48"/>
      <c r="F617" s="27"/>
      <c r="G617" s="27"/>
      <c r="H617" s="27">
        <f>F617*G617</f>
        <v>0</v>
      </c>
      <c r="I617" s="1374">
        <v>11</v>
      </c>
      <c r="J617" s="1375">
        <v>11</v>
      </c>
      <c r="K617" s="31" t="b">
        <f>IF(AND(F617&gt;=I617,F617&lt;=J617),TRUE,FALSE)</f>
        <v>0</v>
      </c>
      <c r="L617" s="31"/>
      <c r="M617" s="31"/>
      <c r="N617" s="31"/>
      <c r="O617" s="1351"/>
      <c r="P617" s="1374">
        <v>11</v>
      </c>
      <c r="Q617" s="1375">
        <v>11</v>
      </c>
      <c r="R617" s="1351" t="b">
        <f>IF(AND(F617&gt;=P617,F617&lt;=Q617),TRUE,FALSE)</f>
        <v>0</v>
      </c>
      <c r="S617" s="1374">
        <v>11</v>
      </c>
      <c r="T617" s="1375">
        <v>11</v>
      </c>
      <c r="U617" s="1351" t="b">
        <f>IF(AND(F617&gt;=S617,F617&lt;=T617),TRUE,FALSE)</f>
        <v>0</v>
      </c>
      <c r="V617" s="807"/>
      <c r="W617" s="821"/>
      <c r="X617" s="822"/>
      <c r="Y617" s="821"/>
      <c r="Z617" s="822"/>
      <c r="AA617" s="821"/>
      <c r="AB617" s="822"/>
      <c r="AD617" s="10"/>
      <c r="AE617" s="10"/>
      <c r="AF617" s="10"/>
      <c r="AG617" s="832">
        <f>IF(K617=TRUE,H617,0)</f>
        <v>0</v>
      </c>
      <c r="AH617" s="832">
        <f>IF(R617=TRUE,H617,0)</f>
        <v>0</v>
      </c>
      <c r="AI617" s="832">
        <f>IF(U617=TRUE,H617,0)</f>
        <v>0</v>
      </c>
      <c r="AJ617" s="1490">
        <f t="shared" si="1290"/>
        <v>0</v>
      </c>
      <c r="AK617" s="1490">
        <f t="shared" si="1291"/>
        <v>0</v>
      </c>
      <c r="AL617" s="1490">
        <f t="shared" si="1292"/>
        <v>0</v>
      </c>
      <c r="AM617" s="1490">
        <f t="shared" si="1293"/>
        <v>0</v>
      </c>
      <c r="AN617" s="1490">
        <f t="shared" si="1294"/>
        <v>0</v>
      </c>
      <c r="AO617" s="1490">
        <f t="shared" si="1295"/>
        <v>0</v>
      </c>
    </row>
    <row r="618" spans="1:41" ht="17" thickBot="1" x14ac:dyDescent="0.25">
      <c r="B618" s="1700"/>
      <c r="C618" s="716" t="s">
        <v>610</v>
      </c>
      <c r="D618" s="717">
        <f>_xlfn.XLOOKUP(H618,H616:H617,D616:D617)</f>
        <v>0</v>
      </c>
      <c r="E618" s="718"/>
      <c r="F618" s="719"/>
      <c r="G618" s="719"/>
      <c r="H618" s="713">
        <f>IF(AND(K616=TRUE,K617=FALSE),H616,IF(AND(K616=FALSE,K617=TRUE),H617,MAX(H616,H617)))</f>
        <v>0</v>
      </c>
      <c r="I618" s="1353"/>
      <c r="J618" s="720"/>
      <c r="K618" s="721" t="b">
        <f>IF(AND(K616=FALSE,K617=FALSE),FALSE,TRUE)</f>
        <v>0</v>
      </c>
      <c r="L618" s="31"/>
      <c r="M618" s="31"/>
      <c r="N618" s="31"/>
      <c r="O618" s="1351"/>
      <c r="P618" s="1353"/>
      <c r="Q618" s="720"/>
      <c r="R618" s="1366" t="b">
        <f>IF(AND(R616=FALSE,R617=FALSE),FALSE,TRUE)</f>
        <v>0</v>
      </c>
      <c r="S618" s="1353"/>
      <c r="T618" s="720"/>
      <c r="U618" s="1366" t="b">
        <f>IF(AND(U616=FALSE,U617=FALSE),FALSE,TRUE)</f>
        <v>0</v>
      </c>
      <c r="V618" s="807"/>
      <c r="W618" s="821"/>
      <c r="X618" s="822"/>
      <c r="Y618" s="821"/>
      <c r="Z618" s="822"/>
      <c r="AA618" s="821"/>
      <c r="AB618" s="822"/>
      <c r="AD618" s="10"/>
      <c r="AE618" s="10"/>
      <c r="AF618" s="10"/>
      <c r="AG618" s="1740">
        <f>IF($K618=TRUE,MAX(AG616:AG617),0)</f>
        <v>0</v>
      </c>
      <c r="AH618" s="1740">
        <f>IF($R618=TRUE,MAX(AH616:AH617),0)</f>
        <v>0</v>
      </c>
      <c r="AI618" s="1740">
        <f>IF($U618=TRUE,MAX(AI616:AI617),0)</f>
        <v>0</v>
      </c>
      <c r="AJ618" s="1739">
        <f>MAX(AJ616:AJ617)</f>
        <v>0</v>
      </c>
      <c r="AK618" s="1739">
        <f t="shared" ref="AK618" si="1296">MAX(AK616:AK617)</f>
        <v>0</v>
      </c>
      <c r="AL618" s="1739">
        <f t="shared" ref="AL618" si="1297">MAX(AL616:AL617)</f>
        <v>0</v>
      </c>
      <c r="AM618" s="1739">
        <f t="shared" ref="AM618" si="1298">MAX(AM616:AM617)</f>
        <v>0</v>
      </c>
      <c r="AN618" s="1739">
        <f t="shared" ref="AN618" si="1299">MAX(AN616:AN617)</f>
        <v>0</v>
      </c>
      <c r="AO618" s="1739">
        <f t="shared" ref="AO618" si="1300">MAX(AO616:AO617)</f>
        <v>0</v>
      </c>
    </row>
    <row r="619" spans="1:41" ht="35" thickBot="1" x14ac:dyDescent="0.25">
      <c r="B619" s="1700"/>
      <c r="C619" s="722" t="s">
        <v>616</v>
      </c>
      <c r="D619" s="723"/>
      <c r="E619" s="723"/>
      <c r="F619" s="724"/>
      <c r="G619" s="724"/>
      <c r="H619" s="724">
        <f>IF(AND(K615=TRUE,K618=FALSE),H615,IF(AND(K615=FALSE,K618=TRUE),H618,IF(AND(K615=TRUE,K618=TRUE),H615+H618,MAX(H615,H618))))</f>
        <v>14</v>
      </c>
      <c r="I619" s="1354"/>
      <c r="J619" s="725"/>
      <c r="K619" s="726" t="b">
        <f>IF(AND(K615=FALSE,K618=FALSE),FALSE,TRUE)</f>
        <v>0</v>
      </c>
      <c r="L619" s="1338"/>
      <c r="M619" s="1338"/>
      <c r="N619" s="1338"/>
      <c r="O619" s="1355"/>
      <c r="P619" s="1354"/>
      <c r="Q619" s="725"/>
      <c r="R619" s="726" t="b">
        <f>IF(AND(R615=FALSE,R618=FALSE),FALSE,TRUE)</f>
        <v>0</v>
      </c>
      <c r="S619" s="1354"/>
      <c r="T619" s="725"/>
      <c r="U619" s="726" t="b">
        <f>IF(AND(U615=FALSE,U618=FALSE),FALSE,TRUE)</f>
        <v>1</v>
      </c>
      <c r="V619" s="807"/>
      <c r="W619" s="821" t="str">
        <f>IF(K619=TRUE,"V","F")</f>
        <v>F</v>
      </c>
      <c r="X619" s="822"/>
      <c r="Y619" s="821" t="str">
        <f>IF(R619=TRUE,"V","F")</f>
        <v>F</v>
      </c>
      <c r="Z619" s="822"/>
      <c r="AA619" s="821" t="str">
        <f>IF(U619=TRUE,"V","F")</f>
        <v>V</v>
      </c>
      <c r="AB619" s="822"/>
      <c r="AD619" s="10"/>
      <c r="AE619" s="10"/>
      <c r="AF619" s="10"/>
      <c r="AG619" s="591">
        <f>IF(AND($K615=TRUE,$K618=FALSE),AG615,IF(AND($K615=FALSE,$K618=TRUE),AG618,IF(AND($K615=TRUE,$K618=TRUE),AG615+AG618,0)))</f>
        <v>0</v>
      </c>
      <c r="AH619" s="591">
        <f>IF(AND($R615=TRUE,$R618=FALSE),AH615,IF(AND($R615=FALSE,$R618=TRUE),AH618,IF(AND($R615=TRUE,$R618=TRUE),AH615+AH618,0)))</f>
        <v>0</v>
      </c>
      <c r="AI619" s="591">
        <f>IF(AND($U615=TRUE,$U618=FALSE),AI615,IF(AND($U615=FALSE,$U618=TRUE),AI618,IF(AND($U615=TRUE,$U618=TRUE),AI615+AI618,0)))</f>
        <v>14</v>
      </c>
      <c r="AJ619" s="591">
        <f>IF(AND($K615=TRUE,$K618=FALSE),AJ615,IF(AND($K615=FALSE,$K618=TRUE),AJ618,IF(AND($K615=TRUE,$K618=TRUE),AJ615+AJ618,MAX(AJ615,AJ618))))</f>
        <v>0</v>
      </c>
      <c r="AK619" s="591">
        <f>IF(AND($K615=TRUE,$K618=FALSE),AK615,IF(AND($K615=FALSE,$K618=TRUE),AK618,IF(AND($K615=TRUE,$K618=TRUE),AK615+AK618,MAX(AK615,AK618))))</f>
        <v>0</v>
      </c>
      <c r="AL619" s="591">
        <f t="shared" ref="AL619" si="1301">IF(AND($R615=TRUE,$R618=FALSE),AL615,IF(AND($R615=FALSE,$R618=TRUE),AL618,IF(AND($R615=TRUE,$R618=TRUE),AL615+AL618,MAX(AL615,AL618))))</f>
        <v>0</v>
      </c>
      <c r="AM619" s="591">
        <f t="shared" ref="AM619" si="1302">IF(AND($R615=TRUE,$R618=FALSE),AM615,IF(AND($R615=FALSE,$R618=TRUE),AM618,IF(AND($R615=TRUE,$R618=TRUE),AM615+AM618,MAX(AM615,AM618))))</f>
        <v>0</v>
      </c>
      <c r="AN619" s="591">
        <f t="shared" ref="AN619" si="1303">IF(AND($U615=TRUE,$U618=FALSE),AN615,IF(AND($U615=FALSE,$U618=TRUE),AN618,IF(AND($U615=TRUE,$U618=TRUE),AN615+AN618,MAX(AN615,AN618))))</f>
        <v>14</v>
      </c>
      <c r="AO619" s="591">
        <f t="shared" ref="AO619" si="1304">IF(AND($U615=TRUE,$U618=FALSE),AO615,IF(AND($U615=FALSE,$U618=TRUE),AO618,IF(AND($U615=TRUE,$U618=TRUE),AO615+AO618,MAX(AO615,AO618))))</f>
        <v>20</v>
      </c>
    </row>
    <row r="620" spans="1:41" ht="21" x14ac:dyDescent="0.2">
      <c r="B620" s="1700"/>
      <c r="C620" s="287"/>
      <c r="D620" s="25"/>
      <c r="E620" s="25"/>
      <c r="F620" s="67"/>
      <c r="G620" s="16"/>
      <c r="H620" s="709">
        <f>F620*G620</f>
        <v>0</v>
      </c>
      <c r="I620" s="1374">
        <v>11</v>
      </c>
      <c r="J620" s="1375">
        <v>11</v>
      </c>
      <c r="K620" s="31" t="b">
        <f>IF(AND(F620&gt;=I620,F620&lt;=J620),TRUE,FALSE)</f>
        <v>0</v>
      </c>
      <c r="L620" s="31"/>
      <c r="M620" s="31"/>
      <c r="N620" s="31"/>
      <c r="O620" s="1351"/>
      <c r="P620" s="1374">
        <v>11</v>
      </c>
      <c r="Q620" s="1375">
        <v>11</v>
      </c>
      <c r="R620" s="1351" t="b">
        <f>IF(AND(F620&gt;=P620,F620&lt;=Q620),TRUE,FALSE)</f>
        <v>0</v>
      </c>
      <c r="S620" s="1350"/>
      <c r="T620" s="1343"/>
      <c r="U620" s="1351"/>
      <c r="V620" s="807"/>
      <c r="W620" s="821" t="s">
        <v>753</v>
      </c>
      <c r="X620" s="822"/>
      <c r="Y620" s="821"/>
      <c r="Z620" s="822"/>
      <c r="AA620" s="821"/>
      <c r="AB620" s="822"/>
      <c r="AD620" s="10"/>
      <c r="AE620" s="10"/>
      <c r="AF620" s="10"/>
      <c r="AG620" s="832">
        <f>IF($K620=TRUE,H620,0)</f>
        <v>0</v>
      </c>
      <c r="AH620" s="832">
        <f>IF($R620=TRUE,H620,0)</f>
        <v>0</v>
      </c>
      <c r="AI620" s="832"/>
      <c r="AJ620" s="1490">
        <f t="shared" ref="AJ620:AJ621" si="1305">IF(OR(I620=11,A620="F"),0,G620*I620)</f>
        <v>0</v>
      </c>
      <c r="AK620" s="1490">
        <f t="shared" ref="AK620:AK621" si="1306">IF(OR(J620=11,A620="F"),0,G620*J620)</f>
        <v>0</v>
      </c>
      <c r="AL620" s="1490">
        <f t="shared" ref="AL620:AL621" si="1307">IF(OR(P620=11,A620="F"),0,G620*P620)</f>
        <v>0</v>
      </c>
      <c r="AM620" s="1490">
        <f t="shared" ref="AM620:AM621" si="1308">IF(OR(Q620=11,A620="F"),0,G620*Q620)</f>
        <v>0</v>
      </c>
      <c r="AN620" s="1490">
        <f t="shared" ref="AN620:AN621" si="1309">IF(OR(S620=11,A620="F"),0,S620*G620)</f>
        <v>0</v>
      </c>
      <c r="AO620" s="1490">
        <f t="shared" ref="AO620:AO621" si="1310">IF(OR(T620=11,A620="F"),0,T620*G620)</f>
        <v>0</v>
      </c>
    </row>
    <row r="621" spans="1:41" ht="17" thickBot="1" x14ac:dyDescent="0.25">
      <c r="B621" s="1700"/>
      <c r="C621" s="287"/>
      <c r="D621" s="25"/>
      <c r="E621" s="25"/>
      <c r="F621" s="67"/>
      <c r="G621" s="16"/>
      <c r="H621" s="709">
        <f>F621*G621</f>
        <v>0</v>
      </c>
      <c r="I621" s="1374">
        <v>11</v>
      </c>
      <c r="J621" s="1375">
        <v>11</v>
      </c>
      <c r="K621" s="31" t="b">
        <f>IF(AND(F621&gt;=I621,F621&lt;=J621),TRUE,FALSE)</f>
        <v>0</v>
      </c>
      <c r="L621" s="31"/>
      <c r="M621" s="31"/>
      <c r="N621" s="31"/>
      <c r="O621" s="1351"/>
      <c r="P621" s="1374">
        <v>11</v>
      </c>
      <c r="Q621" s="1375">
        <v>11</v>
      </c>
      <c r="R621" s="1351" t="b">
        <f>IF(AND(F621&gt;=P621,F621&lt;=Q621),TRUE,FALSE)</f>
        <v>0</v>
      </c>
      <c r="S621" s="1374"/>
      <c r="T621" s="1375"/>
      <c r="U621" s="1351"/>
      <c r="V621" s="807"/>
      <c r="W621" s="821"/>
      <c r="X621" s="822"/>
      <c r="Y621" s="821"/>
      <c r="Z621" s="822"/>
      <c r="AA621" s="821"/>
      <c r="AB621" s="822"/>
      <c r="AD621" s="10"/>
      <c r="AE621" s="10"/>
      <c r="AF621" s="10"/>
      <c r="AG621" s="832">
        <f>IF($K621=TRUE,H621,0)</f>
        <v>0</v>
      </c>
      <c r="AH621" s="832">
        <f>IF($R621=TRUE,H621,0)</f>
        <v>0</v>
      </c>
      <c r="AI621" s="832"/>
      <c r="AJ621" s="1490">
        <f t="shared" si="1305"/>
        <v>0</v>
      </c>
      <c r="AK621" s="1490">
        <f t="shared" si="1306"/>
        <v>0</v>
      </c>
      <c r="AL621" s="1490">
        <f t="shared" si="1307"/>
        <v>0</v>
      </c>
      <c r="AM621" s="1490">
        <f t="shared" si="1308"/>
        <v>0</v>
      </c>
      <c r="AN621" s="1490">
        <f t="shared" si="1309"/>
        <v>0</v>
      </c>
      <c r="AO621" s="1490">
        <f t="shared" si="1310"/>
        <v>0</v>
      </c>
    </row>
    <row r="622" spans="1:41" ht="17" thickBot="1" x14ac:dyDescent="0.25">
      <c r="B622" s="1700"/>
      <c r="C622" s="727" t="s">
        <v>611</v>
      </c>
      <c r="D622" s="728">
        <f>_xlfn.XLOOKUP(H622,H620:H621,D620:D621)</f>
        <v>0</v>
      </c>
      <c r="E622" s="728"/>
      <c r="F622" s="729"/>
      <c r="G622" s="729"/>
      <c r="H622" s="729">
        <f>IF(AND(K620=TRUE,K621=FALSE),H620,IF(AND(K620=FALSE,K621=TRUE),H621,MAX(H620,H621)))</f>
        <v>0</v>
      </c>
      <c r="I622" s="1356"/>
      <c r="J622" s="730"/>
      <c r="K622" s="731" t="b">
        <f>IF(AND(K620=FALSE,K621=FALSE),FALSE,TRUE)</f>
        <v>0</v>
      </c>
      <c r="L622" s="1339"/>
      <c r="M622" s="1339"/>
      <c r="N622" s="1339"/>
      <c r="O622" s="1357"/>
      <c r="P622" s="1356"/>
      <c r="Q622" s="730"/>
      <c r="R622" s="731" t="b">
        <f>IF(AND(R620=FALSE,R621=FALSE),FALSE,TRUE)</f>
        <v>0</v>
      </c>
      <c r="S622" s="1356"/>
      <c r="T622" s="730"/>
      <c r="U622" s="731"/>
      <c r="V622" s="807"/>
      <c r="W622" s="821" t="str">
        <f>IF(K622=TRUE,"V","F")</f>
        <v>F</v>
      </c>
      <c r="X622" s="822"/>
      <c r="Y622" s="821" t="str">
        <f>IF(R622=TRUE,"V","F")</f>
        <v>F</v>
      </c>
      <c r="Z622" s="822"/>
      <c r="AA622" s="821"/>
      <c r="AB622" s="822"/>
      <c r="AD622" s="10"/>
      <c r="AE622" s="10"/>
      <c r="AF622" s="10"/>
      <c r="AG622" s="1742">
        <f>IF(AND($K620=TRUE,$K621=FALSE),AG620,IF(AND($K620=FALSE,$K621=TRUE),AG621,IF(AND($K620=TRUE,$K621=TRUE),MAX(AG620,AG621),0)))</f>
        <v>0</v>
      </c>
      <c r="AH622" s="1742">
        <f>IF(AND($R620=TRUE,$R621=FALSE),AH620,IF(AND($R620=FALSE,$R621=TRUE),AH621,IF(AND($R620=TRUE,$R621=TRUE),MAX(AH620,AH621),0)))</f>
        <v>0</v>
      </c>
      <c r="AI622" s="1742"/>
      <c r="AJ622" s="1742">
        <f>IF(AND($K620=TRUE,$K621=FALSE),AJ620,IF(AND($K620=FALSE,$K621=TRUE),AJ621,IF(AND($K620=TRUE,$K621=TRUE),MAX(AJ620,AJ621),0)))</f>
        <v>0</v>
      </c>
      <c r="AK622" s="1742">
        <f>IF(AND($K620=TRUE,$K621=FALSE),AK620,IF(AND($K620=FALSE,$K621=TRUE),AK621,IF(AND($K620=TRUE,$K621=TRUE),MAX(AK620,AK621),0)))</f>
        <v>0</v>
      </c>
      <c r="AL622" s="1742">
        <f t="shared" ref="AL622" si="1311">IF(AND($R620=TRUE,$R621=FALSE),AL620,IF(AND($R620=FALSE,$R621=TRUE),AL621,IF(AND($R620=TRUE,$R621=TRUE),MAX(AL620,AL621),0)))</f>
        <v>0</v>
      </c>
      <c r="AM622" s="1742">
        <f t="shared" ref="AM622" si="1312">IF(AND($R620=TRUE,$R621=FALSE),AM620,IF(AND($R620=FALSE,$R621=TRUE),AM621,IF(AND($R620=TRUE,$R621=TRUE),MAX(AM620,AM621),0)))</f>
        <v>0</v>
      </c>
      <c r="AN622" s="1742"/>
      <c r="AO622" s="1742"/>
    </row>
    <row r="623" spans="1:41" ht="17" x14ac:dyDescent="0.2">
      <c r="B623" s="1700"/>
      <c r="D623" s="386" t="s">
        <v>273</v>
      </c>
      <c r="E623" s="705"/>
      <c r="F623" s="439" t="s">
        <v>349</v>
      </c>
      <c r="G623" s="33"/>
      <c r="H623" s="33">
        <f>IF(AND(K619=TRUE,K622=FALSE),H619,IF(AND(K619=FALSE,K622=TRUE),H622,IF(AND(K619=TRUE,K622=TRUE),H619+H622,MAX(H619,H622))))</f>
        <v>14</v>
      </c>
      <c r="I623" s="1358"/>
      <c r="J623" s="440"/>
      <c r="K623" s="1341"/>
      <c r="L623" s="1342"/>
      <c r="M623" s="1342"/>
      <c r="N623" s="1342"/>
      <c r="O623" s="1359"/>
      <c r="P623" s="1358"/>
      <c r="Q623" s="440"/>
      <c r="R623" s="1367"/>
      <c r="S623" s="1358"/>
      <c r="T623" s="440"/>
      <c r="U623" s="1367"/>
      <c r="V623" s="145"/>
      <c r="W623" s="823"/>
      <c r="X623" s="824">
        <f>IF(AND(W619="V",W622="V"),2,IF(OR(W619="V",W622="V"),1,0))</f>
        <v>0</v>
      </c>
      <c r="Y623" s="823"/>
      <c r="Z623" s="824">
        <f>IF(OR(Y619="V",Y622="V"),1,0)</f>
        <v>0</v>
      </c>
      <c r="AA623" s="823"/>
      <c r="AB623" s="824"/>
      <c r="AD623" s="10"/>
      <c r="AE623" s="10"/>
      <c r="AF623" s="10"/>
      <c r="AG623" s="1738">
        <f>IF(AND($W619="V",$W622="F"),AG619,IF(AND($W619="F",$W622="V"),AG622,IF(AND($W619="V",$W622="V"),AG619+AG622,0)))</f>
        <v>0</v>
      </c>
      <c r="AH623" s="1738">
        <f>IF(AND($Y619="V",$Y622="F"),AH619,IF(AND($Y619="F",$Y622="V"),AH622,IF(AND($Y619="V",$Y622="V"),AH619+AH622,0)))</f>
        <v>0</v>
      </c>
      <c r="AI623" s="1738"/>
      <c r="AJ623" s="1738">
        <f>IF(AND($W619="V",$W622="F"),AJ619,IF(AND($W619="F",$W622="V"),AJ622,IF(AND($W619="V",$W622="V"),AJ619+AJ622,0)))</f>
        <v>0</v>
      </c>
      <c r="AK623" s="1738">
        <f>IF(AND($W619="V",$W622="F"),AK619,IF(AND($W619="F",$W622="V"),AK622,IF(AND($W619="V",$W622="V"),AK619+AK622,0)))</f>
        <v>0</v>
      </c>
      <c r="AL623" s="1738">
        <f>IF(AND($Y619="V",$Y622="F"),AL619,IF(AND($Y619="F",$Y622="V"),AL622,IF(AND($Y619="V",$Y622="V"),AL619+AL622,0)))</f>
        <v>0</v>
      </c>
      <c r="AM623" s="1738">
        <f>IF(AND($Y619="V",$Y622="F"),AM619,IF(AND($Y619="F",$Y622="V"),AM622,IF(AND($Y619="V",$Y622="V"),AM619+AM622,0)))</f>
        <v>0</v>
      </c>
      <c r="AN623" s="1738"/>
      <c r="AO623" s="1738"/>
    </row>
    <row r="624" spans="1:41" ht="16" x14ac:dyDescent="0.2">
      <c r="B624" s="1700"/>
      <c r="C624" t="s">
        <v>238</v>
      </c>
      <c r="I624" s="122"/>
      <c r="L624" s="32"/>
      <c r="M624" s="32"/>
      <c r="N624" s="32"/>
      <c r="O624" s="1379"/>
      <c r="P624" s="122"/>
      <c r="R624" s="292"/>
      <c r="S624" s="122"/>
      <c r="U624" s="292"/>
      <c r="V624" s="32"/>
      <c r="W624" s="821"/>
      <c r="X624" s="822"/>
      <c r="Y624" s="821"/>
      <c r="Z624" s="822"/>
      <c r="AA624" s="821"/>
      <c r="AB624" s="822"/>
      <c r="AD624" s="10"/>
      <c r="AE624" s="10"/>
      <c r="AF624" s="10"/>
      <c r="AG624" s="832"/>
      <c r="AH624" s="832"/>
      <c r="AI624" s="832"/>
      <c r="AJ624" s="1490"/>
      <c r="AK624" s="1490"/>
      <c r="AL624" s="1490"/>
      <c r="AM624" s="1490"/>
      <c r="AN624" s="1490"/>
      <c r="AO624" s="1490"/>
    </row>
    <row r="625" spans="1:41" ht="21" x14ac:dyDescent="0.2">
      <c r="A625" t="str">
        <f>IF(Test_Bible!B140="","F","O")</f>
        <v>O</v>
      </c>
      <c r="B625" s="1700"/>
      <c r="C625" s="825" t="str">
        <f>'Cpts AR +indép + Sommaire'!U91</f>
        <v>PCR12</v>
      </c>
      <c r="D625" s="826" t="str">
        <f>'Cpts AR +indép + Sommaire'!V91</f>
        <v>Il vous arrive de prendre des décisions sans consulter l'autre parent.</v>
      </c>
      <c r="E625" s="826"/>
      <c r="F625" s="830">
        <f>'Cpts AR +indép + Sommaire'!W91</f>
        <v>2</v>
      </c>
      <c r="G625" s="830">
        <f>'Cpts AR +indép + Sommaire'!X91</f>
        <v>2</v>
      </c>
      <c r="H625" s="830">
        <f>F625*G625</f>
        <v>4</v>
      </c>
      <c r="I625" s="1374">
        <v>11</v>
      </c>
      <c r="J625" s="1375">
        <v>11</v>
      </c>
      <c r="K625" s="31" t="b">
        <f>IF(AND(F625&gt;=I625,F625&lt;=J625),TRUE,FALSE)</f>
        <v>0</v>
      </c>
      <c r="L625" s="26"/>
      <c r="M625" s="26"/>
      <c r="N625" s="26"/>
      <c r="O625" s="1360"/>
      <c r="P625" s="1374">
        <v>11</v>
      </c>
      <c r="Q625" s="1375">
        <v>11</v>
      </c>
      <c r="R625" s="1351" t="b">
        <f>IF(AND(F625&gt;=P625,F625&lt;=Q625),TRUE,FALSE)</f>
        <v>0</v>
      </c>
      <c r="S625" s="1350">
        <v>7</v>
      </c>
      <c r="T625" s="1343">
        <v>10</v>
      </c>
      <c r="U625" s="1351" t="b">
        <f>IF(AND(F625&gt;=S625,F625&lt;=T625),TRUE,FALSE)</f>
        <v>0</v>
      </c>
      <c r="V625" s="1327"/>
      <c r="W625" s="821"/>
      <c r="X625" s="822"/>
      <c r="Y625" s="821"/>
      <c r="Z625" s="822"/>
      <c r="AA625" s="821"/>
      <c r="AB625" s="822"/>
      <c r="AD625" s="10"/>
      <c r="AE625" s="10"/>
      <c r="AF625" s="10"/>
      <c r="AG625" s="832">
        <f>IF($K625=TRUE,H625,0)</f>
        <v>0</v>
      </c>
      <c r="AH625" s="832">
        <f>IF($R625=TRUE,H625,0)</f>
        <v>0</v>
      </c>
      <c r="AI625" s="832">
        <f>IF($U625=TRUE,H625,0)</f>
        <v>0</v>
      </c>
      <c r="AJ625" s="1490">
        <f t="shared" ref="AJ625:AJ626" si="1313">IF(OR(I625=11,A625="F"),0,G625*I625)</f>
        <v>0</v>
      </c>
      <c r="AK625" s="1490">
        <f t="shared" ref="AK625:AK626" si="1314">IF(OR(J625=11,A625="F"),0,G625*J625)</f>
        <v>0</v>
      </c>
      <c r="AL625" s="1490">
        <f t="shared" ref="AL625:AL626" si="1315">IF(OR(P625=11,A625="F"),0,G625*P625)</f>
        <v>0</v>
      </c>
      <c r="AM625" s="1490">
        <f t="shared" ref="AM625:AM626" si="1316">IF(OR(Q625=11,A625="F"),0,G625*Q625)</f>
        <v>0</v>
      </c>
      <c r="AN625" s="1490">
        <f t="shared" ref="AN625:AN626" si="1317">IF(OR(S625=11,A625="F"),0,S625*G625)</f>
        <v>14</v>
      </c>
      <c r="AO625" s="1490">
        <f t="shared" ref="AO625:AO626" si="1318">IF(OR(T625=11,A625="F"),0,T625*G625)</f>
        <v>20</v>
      </c>
    </row>
    <row r="626" spans="1:41" ht="20" thickBot="1" x14ac:dyDescent="0.25">
      <c r="B626" s="1700"/>
      <c r="C626" s="825"/>
      <c r="D626" s="829"/>
      <c r="E626" s="826"/>
      <c r="F626" s="830"/>
      <c r="G626" s="830"/>
      <c r="H626" s="830">
        <f>F626*G626</f>
        <v>0</v>
      </c>
      <c r="I626" s="1374">
        <v>11</v>
      </c>
      <c r="J626" s="1375">
        <v>11</v>
      </c>
      <c r="K626" s="31" t="b">
        <f>IF(AND(F626&gt;=I626,F626&lt;=J626),TRUE,FALSE)</f>
        <v>0</v>
      </c>
      <c r="L626" s="26"/>
      <c r="M626" s="26"/>
      <c r="N626" s="26"/>
      <c r="O626" s="1360"/>
      <c r="P626" s="1374">
        <v>11</v>
      </c>
      <c r="Q626" s="1375">
        <v>11</v>
      </c>
      <c r="R626" s="1351" t="b">
        <f>IF(AND(F626&gt;=P626,F626&lt;=Q626),TRUE,FALSE)</f>
        <v>0</v>
      </c>
      <c r="S626" s="1374">
        <v>11</v>
      </c>
      <c r="T626" s="1375">
        <v>11</v>
      </c>
      <c r="U626" s="1351" t="b">
        <f>IF(AND(F626&gt;=S626,F626&lt;=T626),TRUE,FALSE)</f>
        <v>0</v>
      </c>
      <c r="W626" s="821"/>
      <c r="X626" s="822"/>
      <c r="Y626" s="821"/>
      <c r="Z626" s="822"/>
      <c r="AA626" s="821"/>
      <c r="AB626" s="822"/>
      <c r="AD626" s="10"/>
      <c r="AE626" s="10"/>
      <c r="AF626" s="10"/>
      <c r="AG626" s="832">
        <f>IF($K626=TRUE,H626,0)</f>
        <v>0</v>
      </c>
      <c r="AH626" s="832">
        <f>IF($R626=TRUE,H626,0)</f>
        <v>0</v>
      </c>
      <c r="AI626" s="832">
        <f>IF($U626=TRUE,H626,0)</f>
        <v>0</v>
      </c>
      <c r="AJ626" s="1490">
        <f t="shared" si="1313"/>
        <v>0</v>
      </c>
      <c r="AK626" s="1490">
        <f t="shared" si="1314"/>
        <v>0</v>
      </c>
      <c r="AL626" s="1490">
        <f t="shared" si="1315"/>
        <v>0</v>
      </c>
      <c r="AM626" s="1490">
        <f t="shared" si="1316"/>
        <v>0</v>
      </c>
      <c r="AN626" s="1490">
        <f t="shared" si="1317"/>
        <v>0</v>
      </c>
      <c r="AO626" s="1490">
        <f t="shared" si="1318"/>
        <v>0</v>
      </c>
    </row>
    <row r="627" spans="1:41" ht="27" thickBot="1" x14ac:dyDescent="0.35">
      <c r="B627" s="1700"/>
      <c r="E627" s="732"/>
      <c r="F627" s="73"/>
      <c r="G627" s="73"/>
      <c r="H627" s="33">
        <f>IF(AND(K625=TRUE,K626=FALSE),H625,IF(AND(K625=FALSE,K626=TRUE),H626,MAX(H625,H626)))</f>
        <v>4</v>
      </c>
      <c r="I627" s="1371"/>
      <c r="J627" s="1372"/>
      <c r="K627" s="1378" t="b">
        <f>IF(AND(K625=FALSE,K626=FALSE),FALSE,TRUE)</f>
        <v>0</v>
      </c>
      <c r="L627" s="1361"/>
      <c r="M627" s="1362"/>
      <c r="N627" s="1362"/>
      <c r="O627" s="1363"/>
      <c r="P627" s="1371"/>
      <c r="Q627" s="1372"/>
      <c r="R627" s="1378" t="b">
        <f>IF(AND(R625=FALSE,R626=FALSE),FALSE,TRUE)</f>
        <v>0</v>
      </c>
      <c r="S627" s="1383"/>
      <c r="T627" s="1384"/>
      <c r="U627" s="1385" t="b">
        <f>IF(AND(U625=FALSE,U626=FALSE),FALSE,TRUE)</f>
        <v>0</v>
      </c>
      <c r="V627" s="73"/>
      <c r="W627" s="1315" t="str">
        <f>IF(K627=TRUE,"V","F")</f>
        <v>F</v>
      </c>
      <c r="X627" s="1316"/>
      <c r="Y627" s="1315" t="str">
        <f>IF(R627=TRUE,"V","F")</f>
        <v>F</v>
      </c>
      <c r="Z627" s="1316"/>
      <c r="AA627" s="1315" t="str">
        <f>IF(U627=TRUE,"V","F")</f>
        <v>F</v>
      </c>
      <c r="AB627" s="1316"/>
      <c r="AD627" s="10"/>
      <c r="AE627" s="10"/>
      <c r="AF627" s="10"/>
      <c r="AG627" s="1742">
        <f>IF(AND($K625=TRUE,$K626=FALSE),AG625,IF(AND($K625=FALSE,$K626=TRUE),AG626,MAX(AG625,AG626)))</f>
        <v>0</v>
      </c>
      <c r="AH627" s="1742">
        <f>IF(AND($R625=TRUE,$R626=FALSE),AH625,IF(AND($R625=FALSE,$R626=TRUE),AH626,MAX(AH625,AH626)))</f>
        <v>0</v>
      </c>
      <c r="AI627" s="1742">
        <f>IF(AND($U625=TRUE,$U626=FALSE),AI625,IF(AND($U625=FALSE,$U626=TRUE),AI626,MAX(AI625,AI626)))</f>
        <v>0</v>
      </c>
      <c r="AJ627" s="1742">
        <f>IF(AND($K625=TRUE,$K626=FALSE),AJ625,IF(AND($K625=FALSE,$K626=TRUE),AJ626,MAX(AJ625,AJ626)))</f>
        <v>0</v>
      </c>
      <c r="AK627" s="1742">
        <f>IF(AND($K625=TRUE,$K626=FALSE),AK625,IF(AND($K625=FALSE,$K626=TRUE),AK626,MAX(AK625,AK626)))</f>
        <v>0</v>
      </c>
      <c r="AL627" s="1742">
        <f>IF(AND($R625=TRUE,$R626=FALSE),AL625,IF(AND($R625=FALSE,$R626=TRUE),AL626,MAX(AL625,AL626)))</f>
        <v>0</v>
      </c>
      <c r="AM627" s="1742">
        <f>IF(AND($R625=TRUE,$R626=FALSE),AM625,IF(AND($R625=FALSE,$R626=TRUE),AM626,MAX(AM625,AM626)))</f>
        <v>0</v>
      </c>
      <c r="AN627" s="1742">
        <f>IF(AND($U625=TRUE,$U626=FALSE),AN625,IF(AND($U625=FALSE,$U626=TRUE),AN626,MAX(AN625,AN626)))</f>
        <v>14</v>
      </c>
      <c r="AO627" s="1742">
        <f>IF(AND($U625=TRUE,$U626=FALSE),AO625,IF(AND($U625=FALSE,$U626=TRUE),AO626,MAX(AO625,AO626)))</f>
        <v>20</v>
      </c>
    </row>
    <row r="628" spans="1:41" ht="21" x14ac:dyDescent="0.25">
      <c r="B628" s="1700"/>
      <c r="W628" s="1376"/>
      <c r="X628" s="1377">
        <f>IF(AND(W627="V",W619="V"),X623-1,X623)</f>
        <v>0</v>
      </c>
      <c r="Y628" s="1376"/>
      <c r="Z628" s="1377">
        <f>IF(OR(Y619="V",Y622="V",Y627="V"),1,0)</f>
        <v>0</v>
      </c>
      <c r="AA628" s="1376"/>
      <c r="AB628" s="1377">
        <f>IF(AA619="V",1,IF(AA627="V",1,0))</f>
        <v>1</v>
      </c>
      <c r="AD628" s="10">
        <f>X628</f>
        <v>0</v>
      </c>
      <c r="AE628" s="10">
        <f>Z628</f>
        <v>0</v>
      </c>
      <c r="AF628" s="10">
        <f>AB628</f>
        <v>1</v>
      </c>
      <c r="AG628" s="1741">
        <f>IF($W627="F",AG623,AG623+AG627)</f>
        <v>0</v>
      </c>
      <c r="AH628" s="1741">
        <f>IF($Y627="F",AH623,AH623+AH627)</f>
        <v>0</v>
      </c>
      <c r="AI628" s="1741">
        <f>IF(AND($AA619="V",$AA627="F"),AI619,IF(AND($AA619="F",$AA627="V"),AI627,IF(AND($AA619="V",$AA627="V"),AI619+AI627,0)))</f>
        <v>14</v>
      </c>
      <c r="AJ628" s="1741">
        <f>IF($W627="F",AJ623,AJ623+AJ627)</f>
        <v>0</v>
      </c>
      <c r="AK628" s="1741">
        <f t="shared" ref="AK628" si="1319">IF($W627="F",AK623,AK623+AK627)</f>
        <v>0</v>
      </c>
      <c r="AL628" s="1741">
        <f t="shared" ref="AL628" si="1320">IF($Y627="F",AL623,AL623+AL627)</f>
        <v>0</v>
      </c>
      <c r="AM628" s="1741">
        <f t="shared" ref="AM628" si="1321">IF($Y627="F",AM623,AM623+AM627)</f>
        <v>0</v>
      </c>
      <c r="AN628" s="1741">
        <f t="shared" ref="AN628" si="1322">IF(AND($AA619="V",$AA627="F"),AN619,IF(AND($AA619="F",$AA627="V"),AN627,IF(AND($AA619="V",$AA627="V"),AN619+AN627,0)))</f>
        <v>14</v>
      </c>
      <c r="AO628" s="1741">
        <f t="shared" ref="AO628" si="1323">IF(AND($AA619="V",$AA627="F"),AO619,IF(AND($AA619="F",$AA627="V"),AO627,IF(AND($AA619="V",$AA627="V"),AO619+AO627,0)))</f>
        <v>20</v>
      </c>
    </row>
    <row r="629" spans="1:41" ht="21" x14ac:dyDescent="0.25">
      <c r="B629" s="1700"/>
      <c r="W629" s="2034"/>
      <c r="X629" s="2034"/>
      <c r="Y629" s="2034"/>
      <c r="Z629" s="2034"/>
      <c r="AA629" s="2034"/>
      <c r="AB629" s="2034"/>
      <c r="AG629" s="5"/>
      <c r="AH629" s="5"/>
      <c r="AI629" s="5"/>
    </row>
    <row r="630" spans="1:41" x14ac:dyDescent="0.3">
      <c r="E630" s="85" t="s">
        <v>268</v>
      </c>
      <c r="F630" s="2593" t="s">
        <v>254</v>
      </c>
      <c r="G630" s="2593"/>
      <c r="H630" s="2593"/>
      <c r="I630" s="2593"/>
      <c r="J630" s="2593"/>
      <c r="K630" s="703"/>
      <c r="L630" s="2594"/>
      <c r="M630" s="2594"/>
      <c r="N630" s="2594"/>
      <c r="O630" s="703"/>
      <c r="P630" s="703"/>
      <c r="Q630" s="703"/>
      <c r="R630" s="703"/>
      <c r="S630" s="703"/>
      <c r="T630" s="703"/>
      <c r="U630" s="703"/>
      <c r="V630" s="73"/>
      <c r="AD630" s="10"/>
      <c r="AE630" s="10"/>
      <c r="AF630" s="10"/>
    </row>
    <row r="631" spans="1:41" x14ac:dyDescent="0.3">
      <c r="B631" s="1699">
        <v>5</v>
      </c>
      <c r="D631" s="441" t="str">
        <f>'Cpts AR +indép + Sommaire'!B93</f>
        <v>Compromis à faire</v>
      </c>
      <c r="E631" s="84"/>
      <c r="F631" s="50"/>
      <c r="G631" s="18"/>
      <c r="H631" s="18"/>
      <c r="I631" s="2595" t="s">
        <v>604</v>
      </c>
      <c r="J631" s="2596"/>
      <c r="K631" s="2596"/>
      <c r="L631" s="2597" t="s">
        <v>1086</v>
      </c>
      <c r="M631" s="2597"/>
      <c r="N631" s="2597"/>
      <c r="O631" s="2598"/>
      <c r="P631" s="2599" t="s">
        <v>603</v>
      </c>
      <c r="Q631" s="2600"/>
      <c r="R631" s="2601"/>
      <c r="S631" s="2590" t="s">
        <v>605</v>
      </c>
      <c r="T631" s="2591"/>
      <c r="U631" s="2592"/>
      <c r="V631" s="15"/>
      <c r="W631" s="817"/>
      <c r="X631" s="817"/>
      <c r="Y631" s="817"/>
      <c r="Z631" s="817"/>
      <c r="AA631" s="817"/>
      <c r="AB631" s="818"/>
      <c r="AD631" s="10"/>
      <c r="AE631" s="10"/>
      <c r="AF631" s="10"/>
      <c r="AG631" s="1386" t="s">
        <v>604</v>
      </c>
      <c r="AH631" s="1386" t="s">
        <v>603</v>
      </c>
      <c r="AI631" s="1386" t="s">
        <v>605</v>
      </c>
      <c r="AJ631" s="2589" t="s">
        <v>604</v>
      </c>
      <c r="AK631" s="2589"/>
      <c r="AL631" s="2589" t="s">
        <v>603</v>
      </c>
      <c r="AM631" s="2589"/>
      <c r="AN631" s="2589" t="s">
        <v>605</v>
      </c>
      <c r="AO631" s="2589"/>
    </row>
    <row r="632" spans="1:41" ht="34" x14ac:dyDescent="0.2">
      <c r="B632" s="1700"/>
      <c r="D632" s="79" t="s">
        <v>779</v>
      </c>
      <c r="E632" s="835"/>
      <c r="F632" s="26" t="s">
        <v>226</v>
      </c>
      <c r="G632" s="26" t="s">
        <v>22</v>
      </c>
      <c r="H632" s="26" t="s">
        <v>612</v>
      </c>
      <c r="I632" s="1348" t="s">
        <v>269</v>
      </c>
      <c r="J632" s="29" t="s">
        <v>270</v>
      </c>
      <c r="K632" s="29" t="s">
        <v>271</v>
      </c>
      <c r="L632" s="29" t="s">
        <v>363</v>
      </c>
      <c r="M632" s="29" t="s">
        <v>339</v>
      </c>
      <c r="N632" s="29" t="s">
        <v>340</v>
      </c>
      <c r="O632" s="1349" t="s">
        <v>341</v>
      </c>
      <c r="P632" s="1348" t="s">
        <v>269</v>
      </c>
      <c r="Q632" s="29" t="s">
        <v>270</v>
      </c>
      <c r="R632" s="1349" t="s">
        <v>271</v>
      </c>
      <c r="S632" s="1348" t="s">
        <v>269</v>
      </c>
      <c r="T632" s="29" t="s">
        <v>270</v>
      </c>
      <c r="U632" s="1349" t="s">
        <v>271</v>
      </c>
      <c r="V632" s="736"/>
      <c r="W632" s="827" t="s">
        <v>604</v>
      </c>
      <c r="X632" s="828" t="s">
        <v>754</v>
      </c>
      <c r="Y632" s="827" t="s">
        <v>603</v>
      </c>
      <c r="Z632" s="828" t="s">
        <v>755</v>
      </c>
      <c r="AA632" s="827" t="s">
        <v>605</v>
      </c>
      <c r="AB632" s="828" t="s">
        <v>756</v>
      </c>
      <c r="AD632" s="10"/>
      <c r="AE632" s="10"/>
      <c r="AF632" s="10"/>
      <c r="AG632" s="10"/>
      <c r="AH632" s="10"/>
      <c r="AI632" s="10"/>
      <c r="AJ632" s="1490" t="s">
        <v>1058</v>
      </c>
      <c r="AK632" s="1490" t="s">
        <v>1059</v>
      </c>
      <c r="AL632" s="1490" t="s">
        <v>1058</v>
      </c>
      <c r="AM632" s="1490" t="s">
        <v>1059</v>
      </c>
      <c r="AN632" s="1490" t="s">
        <v>1058</v>
      </c>
      <c r="AO632" s="1490" t="s">
        <v>1059</v>
      </c>
    </row>
    <row r="633" spans="1:41" ht="34" x14ac:dyDescent="0.2">
      <c r="A633" t="str">
        <f>IF(Test_Bible!B163="","F","O")</f>
        <v>O</v>
      </c>
      <c r="B633" s="2148" t="s">
        <v>1823</v>
      </c>
      <c r="C633" s="379" t="str">
        <f>'Cpts AR +indép + Sommaire'!C93</f>
        <v>PFA00</v>
      </c>
      <c r="D633" s="25" t="str">
        <f>'Cpts AR +indép + Sommaire'!D93</f>
        <v>L'autre parent (coparent) accepte de faire des compromis afin d'assurer une bonne entente de garde.</v>
      </c>
      <c r="E633" s="78"/>
      <c r="F633" s="709">
        <f>'Cpts AR +indép + Sommaire'!E93</f>
        <v>10</v>
      </c>
      <c r="G633" s="708">
        <f>'Cpts AR +indép + Sommaire'!F93</f>
        <v>1</v>
      </c>
      <c r="H633" s="709">
        <f>F633*G633</f>
        <v>10</v>
      </c>
      <c r="I633" s="1350">
        <v>7</v>
      </c>
      <c r="J633" s="1343">
        <v>10</v>
      </c>
      <c r="K633" s="31" t="b">
        <f>IF(AND(F633&gt;=I633,F633&lt;=J633),TRUE,FALSE)</f>
        <v>1</v>
      </c>
      <c r="L633" s="31"/>
      <c r="M633" s="31"/>
      <c r="N633" s="31"/>
      <c r="O633" s="1351"/>
      <c r="P633" s="1374">
        <v>11</v>
      </c>
      <c r="Q633" s="1375">
        <v>11</v>
      </c>
      <c r="R633" s="1351" t="b">
        <f>IF(AND(F633&gt;=P633,F633&lt;=Q633),TRUE,FALSE)</f>
        <v>0</v>
      </c>
      <c r="S633" s="1350">
        <v>4</v>
      </c>
      <c r="T633" s="1343">
        <v>10</v>
      </c>
      <c r="U633" s="1351" t="b">
        <f>IF(AND(F633&gt;=S633,F633&lt;=T633),TRUE,FALSE)</f>
        <v>1</v>
      </c>
      <c r="V633" s="807"/>
      <c r="W633" s="819"/>
      <c r="X633" s="820"/>
      <c r="Y633" s="819"/>
      <c r="Z633" s="820"/>
      <c r="AA633" s="819"/>
      <c r="AB633" s="820"/>
      <c r="AD633" s="10"/>
      <c r="AE633" s="10"/>
      <c r="AF633" s="10"/>
      <c r="AG633" s="832">
        <f>IF($K633=TRUE,H633,0)</f>
        <v>10</v>
      </c>
      <c r="AH633" s="832">
        <f>IF($R633=TRUE,H633,0)</f>
        <v>0</v>
      </c>
      <c r="AI633" s="832">
        <f>IF($U633=TRUE,H633,0)</f>
        <v>10</v>
      </c>
      <c r="AJ633" s="1490">
        <f t="shared" ref="AJ633:AJ634" si="1324">IF(OR(I633=11,A633="F"),0,G633*I633)</f>
        <v>7</v>
      </c>
      <c r="AK633" s="1490">
        <f t="shared" ref="AK633:AK634" si="1325">IF(OR(J633=11,A633="F"),0,G633*J633)</f>
        <v>10</v>
      </c>
      <c r="AL633" s="1490">
        <f t="shared" ref="AL633:AL634" si="1326">IF(OR(P633=11,A633="F"),0,G633*P633)</f>
        <v>0</v>
      </c>
      <c r="AM633" s="1490">
        <f t="shared" ref="AM633:AM634" si="1327">IF(OR(Q633=11,A633="F"),0,G633*Q633)</f>
        <v>0</v>
      </c>
      <c r="AN633" s="1490">
        <f t="shared" ref="AN633:AN634" si="1328">IF(OR(S633=11,A633="F"),0,S633*G633)</f>
        <v>4</v>
      </c>
      <c r="AO633" s="1490">
        <f t="shared" ref="AO633:AO634" si="1329">IF(OR(T633=11,A633="F"),0,T633*G633)</f>
        <v>10</v>
      </c>
    </row>
    <row r="634" spans="1:41" ht="16" x14ac:dyDescent="0.2">
      <c r="B634" s="1700"/>
      <c r="C634" s="379"/>
      <c r="D634" s="25"/>
      <c r="E634" s="78"/>
      <c r="F634" s="709"/>
      <c r="G634" s="708"/>
      <c r="H634" s="709">
        <f>F634*G634</f>
        <v>0</v>
      </c>
      <c r="I634" s="1374">
        <v>11</v>
      </c>
      <c r="J634" s="1375">
        <v>11</v>
      </c>
      <c r="K634" s="31" t="b">
        <f>IF(AND(F634&gt;=I634,F634&lt;=J634),TRUE,FALSE)</f>
        <v>0</v>
      </c>
      <c r="L634" s="31"/>
      <c r="M634" s="31"/>
      <c r="N634" s="31"/>
      <c r="O634" s="1351"/>
      <c r="P634" s="1374">
        <v>11</v>
      </c>
      <c r="Q634" s="1375">
        <v>11</v>
      </c>
      <c r="R634" s="1351" t="b">
        <f>IF(AND(F634&gt;=P634,F634&lt;=Q634),TRUE,FALSE)</f>
        <v>0</v>
      </c>
      <c r="S634" s="1374">
        <v>11</v>
      </c>
      <c r="T634" s="1375">
        <v>11</v>
      </c>
      <c r="U634" s="1351" t="b">
        <f>IF(AND(F634&gt;=S634,F634&lt;=T634),TRUE,FALSE)</f>
        <v>0</v>
      </c>
      <c r="V634" s="807"/>
      <c r="W634" s="821"/>
      <c r="X634" s="822"/>
      <c r="Y634" s="821"/>
      <c r="Z634" s="822"/>
      <c r="AA634" s="821"/>
      <c r="AB634" s="822"/>
      <c r="AD634" s="10"/>
      <c r="AE634" s="10"/>
      <c r="AF634" s="10"/>
      <c r="AG634" s="832">
        <f>IF($K634=TRUE,H634,0)</f>
        <v>0</v>
      </c>
      <c r="AH634" s="832">
        <f>IF($R634=TRUE,H634,0)</f>
        <v>0</v>
      </c>
      <c r="AI634" s="832">
        <f>IF($U634=TRUE,H634,0)</f>
        <v>0</v>
      </c>
      <c r="AJ634" s="1490">
        <f t="shared" si="1324"/>
        <v>0</v>
      </c>
      <c r="AK634" s="1490">
        <f t="shared" si="1325"/>
        <v>0</v>
      </c>
      <c r="AL634" s="1490">
        <f t="shared" si="1326"/>
        <v>0</v>
      </c>
      <c r="AM634" s="1490">
        <f t="shared" si="1327"/>
        <v>0</v>
      </c>
      <c r="AN634" s="1490">
        <f t="shared" si="1328"/>
        <v>0</v>
      </c>
      <c r="AO634" s="1490">
        <f t="shared" si="1329"/>
        <v>0</v>
      </c>
    </row>
    <row r="635" spans="1:41" ht="34" x14ac:dyDescent="0.2">
      <c r="B635" s="1700"/>
      <c r="C635" s="710" t="s">
        <v>609</v>
      </c>
      <c r="D635" s="711" t="str">
        <f>_xlfn.XLOOKUP(H635,H633:H634,D633:D634)</f>
        <v>L'autre parent (coparent) accepte de faire des compromis afin d'assurer une bonne entente de garde.</v>
      </c>
      <c r="E635" s="712"/>
      <c r="F635" s="713"/>
      <c r="G635" s="713"/>
      <c r="H635" s="713">
        <f>IF(AND(K633=TRUE,K634=FALSE),H633,IF(AND(K633=FALSE,K634=TRUE),H634,MAX(H633,H634)))</f>
        <v>10</v>
      </c>
      <c r="I635" s="1352"/>
      <c r="J635" s="714"/>
      <c r="K635" s="715" t="b">
        <f>IF(AND(K633=FALSE,K634=FALSE),FALSE,TRUE)</f>
        <v>1</v>
      </c>
      <c r="L635" s="31"/>
      <c r="M635" s="31"/>
      <c r="N635" s="31"/>
      <c r="O635" s="1351"/>
      <c r="P635" s="1352"/>
      <c r="Q635" s="714"/>
      <c r="R635" s="1365" t="b">
        <f>IF(AND(R633=FALSE,R634=FALSE),FALSE,TRUE)</f>
        <v>0</v>
      </c>
      <c r="S635" s="1352"/>
      <c r="T635" s="714"/>
      <c r="U635" s="1365" t="b">
        <f>IF(AND(U633=FALSE,U634=FALSE),FALSE,TRUE)</f>
        <v>1</v>
      </c>
      <c r="V635" s="807"/>
      <c r="W635" s="821"/>
      <c r="X635" s="822"/>
      <c r="Y635" s="821"/>
      <c r="Z635" s="822"/>
      <c r="AA635" s="821"/>
      <c r="AB635" s="822"/>
      <c r="AD635" s="10"/>
      <c r="AE635" s="10"/>
      <c r="AF635" s="10"/>
      <c r="AG635" s="1740">
        <f>IF($K635=TRUE,MAX(AG633:AG634),0)</f>
        <v>10</v>
      </c>
      <c r="AH635" s="1740">
        <f>IF($R635=TRUE,MAX(AH633:AH634),0)</f>
        <v>0</v>
      </c>
      <c r="AI635" s="1740">
        <f>IF($U635=TRUE,MAX(AI633:AI634),0)</f>
        <v>10</v>
      </c>
      <c r="AJ635" s="1739">
        <f>MAX(AJ633:AJ634)</f>
        <v>7</v>
      </c>
      <c r="AK635" s="1739">
        <f t="shared" ref="AK635:AO635" si="1330">MAX(AK633:AK634)</f>
        <v>10</v>
      </c>
      <c r="AL635" s="1739">
        <f t="shared" si="1330"/>
        <v>0</v>
      </c>
      <c r="AM635" s="1739">
        <f t="shared" si="1330"/>
        <v>0</v>
      </c>
      <c r="AN635" s="1739">
        <f t="shared" si="1330"/>
        <v>4</v>
      </c>
      <c r="AO635" s="1739">
        <f t="shared" si="1330"/>
        <v>10</v>
      </c>
    </row>
    <row r="636" spans="1:41" ht="16" x14ac:dyDescent="0.2">
      <c r="B636" s="1700"/>
      <c r="C636" s="38"/>
      <c r="D636" s="25"/>
      <c r="E636" s="78"/>
      <c r="F636" s="709"/>
      <c r="G636" s="708"/>
      <c r="H636" s="709">
        <f>F636*G636</f>
        <v>0</v>
      </c>
      <c r="I636" s="1374">
        <v>11</v>
      </c>
      <c r="J636" s="1375">
        <v>11</v>
      </c>
      <c r="K636" s="31" t="b">
        <f>IF(AND(F636&gt;=I636,F636&lt;=J636),TRUE,FALSE)</f>
        <v>0</v>
      </c>
      <c r="L636" s="31"/>
      <c r="M636" s="31"/>
      <c r="N636" s="31"/>
      <c r="O636" s="1351"/>
      <c r="P636" s="1374">
        <v>11</v>
      </c>
      <c r="Q636" s="1375">
        <v>11</v>
      </c>
      <c r="R636" s="1351" t="b">
        <f>IF(AND(F636&gt;=P636,F636&lt;=Q636),TRUE,FALSE)</f>
        <v>0</v>
      </c>
      <c r="S636" s="1374">
        <v>11</v>
      </c>
      <c r="T636" s="1375">
        <v>11</v>
      </c>
      <c r="U636" s="1351" t="b">
        <f>IF(AND(F636&gt;=S636,F636&lt;=T636),TRUE,FALSE)</f>
        <v>0</v>
      </c>
      <c r="V636" s="807"/>
      <c r="W636" s="821"/>
      <c r="X636" s="822"/>
      <c r="Y636" s="821"/>
      <c r="Z636" s="822"/>
      <c r="AA636" s="821"/>
      <c r="AB636" s="822"/>
      <c r="AD636" s="10"/>
      <c r="AE636" s="10"/>
      <c r="AF636" s="10"/>
      <c r="AG636" s="832">
        <f>IF(K636=TRUE,H636,0)</f>
        <v>0</v>
      </c>
      <c r="AH636" s="832">
        <f>IF(R636=TRUE,H636,0)</f>
        <v>0</v>
      </c>
      <c r="AI636" s="832">
        <f>IF(U636=TRUE,H636,0)</f>
        <v>0</v>
      </c>
      <c r="AJ636" s="1490">
        <f t="shared" ref="AJ636:AJ637" si="1331">IF(OR(I636=11,A636="F"),0,G636*I636)</f>
        <v>0</v>
      </c>
      <c r="AK636" s="1490">
        <f t="shared" ref="AK636:AK637" si="1332">IF(OR(J636=11,A636="F"),0,G636*J636)</f>
        <v>0</v>
      </c>
      <c r="AL636" s="1490">
        <f t="shared" ref="AL636:AL637" si="1333">IF(OR(P636=11,A636="F"),0,G636*P636)</f>
        <v>0</v>
      </c>
      <c r="AM636" s="1490">
        <f t="shared" ref="AM636:AM637" si="1334">IF(OR(Q636=11,A636="F"),0,G636*Q636)</f>
        <v>0</v>
      </c>
      <c r="AN636" s="1490">
        <f t="shared" ref="AN636:AN637" si="1335">IF(OR(S636=11,A636="F"),0,S636*G636)</f>
        <v>0</v>
      </c>
      <c r="AO636" s="1490">
        <f t="shared" ref="AO636:AO637" si="1336">IF(OR(T636=11,A636="F"),0,T636*G636)</f>
        <v>0</v>
      </c>
    </row>
    <row r="637" spans="1:41" ht="16" x14ac:dyDescent="0.2">
      <c r="B637" s="1700"/>
      <c r="C637" s="38"/>
      <c r="D637" s="25"/>
      <c r="E637" s="48"/>
      <c r="F637" s="27"/>
      <c r="G637" s="27"/>
      <c r="H637" s="27">
        <f>F637*G637</f>
        <v>0</v>
      </c>
      <c r="I637" s="1374">
        <v>11</v>
      </c>
      <c r="J637" s="1375">
        <v>11</v>
      </c>
      <c r="K637" s="31" t="b">
        <f>IF(AND(F637&gt;=I637,F637&lt;=J637),TRUE,FALSE)</f>
        <v>0</v>
      </c>
      <c r="L637" s="31"/>
      <c r="M637" s="31"/>
      <c r="N637" s="31"/>
      <c r="O637" s="1351"/>
      <c r="P637" s="1374">
        <v>11</v>
      </c>
      <c r="Q637" s="1375">
        <v>11</v>
      </c>
      <c r="R637" s="1351" t="b">
        <f>IF(AND(F637&gt;=P637,F637&lt;=Q637),TRUE,FALSE)</f>
        <v>0</v>
      </c>
      <c r="S637" s="1374">
        <v>11</v>
      </c>
      <c r="T637" s="1375">
        <v>11</v>
      </c>
      <c r="U637" s="1351" t="b">
        <f>IF(AND(F637&gt;=S637,F637&lt;=T637),TRUE,FALSE)</f>
        <v>0</v>
      </c>
      <c r="V637" s="807"/>
      <c r="W637" s="821"/>
      <c r="X637" s="822"/>
      <c r="Y637" s="821"/>
      <c r="Z637" s="822"/>
      <c r="AA637" s="821"/>
      <c r="AB637" s="822"/>
      <c r="AD637" s="10"/>
      <c r="AE637" s="10"/>
      <c r="AF637" s="10"/>
      <c r="AG637" s="832">
        <f>IF(K637=TRUE,H637,0)</f>
        <v>0</v>
      </c>
      <c r="AH637" s="832">
        <f>IF(R637=TRUE,H637,0)</f>
        <v>0</v>
      </c>
      <c r="AI637" s="832">
        <f>IF(U637=TRUE,H637,0)</f>
        <v>0</v>
      </c>
      <c r="AJ637" s="1490">
        <f t="shared" si="1331"/>
        <v>0</v>
      </c>
      <c r="AK637" s="1490">
        <f t="shared" si="1332"/>
        <v>0</v>
      </c>
      <c r="AL637" s="1490">
        <f t="shared" si="1333"/>
        <v>0</v>
      </c>
      <c r="AM637" s="1490">
        <f t="shared" si="1334"/>
        <v>0</v>
      </c>
      <c r="AN637" s="1490">
        <f t="shared" si="1335"/>
        <v>0</v>
      </c>
      <c r="AO637" s="1490">
        <f t="shared" si="1336"/>
        <v>0</v>
      </c>
    </row>
    <row r="638" spans="1:41" ht="17" thickBot="1" x14ac:dyDescent="0.25">
      <c r="B638" s="1700"/>
      <c r="C638" s="716" t="s">
        <v>610</v>
      </c>
      <c r="D638" s="717">
        <f>_xlfn.XLOOKUP(H638,H636:H637,D636:D637)</f>
        <v>0</v>
      </c>
      <c r="E638" s="718"/>
      <c r="F638" s="719"/>
      <c r="G638" s="719"/>
      <c r="H638" s="713">
        <f>IF(AND(K636=TRUE,K637=FALSE),H636,IF(AND(K636=FALSE,K637=TRUE),H637,MAX(H636,H637)))</f>
        <v>0</v>
      </c>
      <c r="I638" s="1353"/>
      <c r="J638" s="720"/>
      <c r="K638" s="721" t="b">
        <f>IF(AND(K636=FALSE,K637=FALSE),FALSE,TRUE)</f>
        <v>0</v>
      </c>
      <c r="L638" s="31"/>
      <c r="M638" s="31"/>
      <c r="N638" s="31"/>
      <c r="O638" s="1351"/>
      <c r="P638" s="1353"/>
      <c r="Q638" s="720"/>
      <c r="R638" s="1366" t="b">
        <f>IF(AND(R636=FALSE,R637=FALSE),FALSE,TRUE)</f>
        <v>0</v>
      </c>
      <c r="S638" s="1353"/>
      <c r="T638" s="720"/>
      <c r="U638" s="1366" t="b">
        <f>IF(AND(U636=FALSE,U637=FALSE),FALSE,TRUE)</f>
        <v>0</v>
      </c>
      <c r="V638" s="807"/>
      <c r="W638" s="821"/>
      <c r="X638" s="822"/>
      <c r="Y638" s="821"/>
      <c r="Z638" s="822"/>
      <c r="AA638" s="821"/>
      <c r="AB638" s="822"/>
      <c r="AD638" s="10"/>
      <c r="AE638" s="10"/>
      <c r="AF638" s="10"/>
      <c r="AG638" s="1740">
        <f>IF($K638=TRUE,MAX(AG636:AG637),0)</f>
        <v>0</v>
      </c>
      <c r="AH638" s="1740">
        <f>IF($R638=TRUE,MAX(AH636:AH637),0)</f>
        <v>0</v>
      </c>
      <c r="AI638" s="1740">
        <f>IF($U638=TRUE,MAX(AI636:AI637),0)</f>
        <v>0</v>
      </c>
      <c r="AJ638" s="1739">
        <f>MAX(AJ636:AJ637)</f>
        <v>0</v>
      </c>
      <c r="AK638" s="1739">
        <f t="shared" ref="AK638:AO638" si="1337">MAX(AK636:AK637)</f>
        <v>0</v>
      </c>
      <c r="AL638" s="1739">
        <f t="shared" si="1337"/>
        <v>0</v>
      </c>
      <c r="AM638" s="1739">
        <f t="shared" si="1337"/>
        <v>0</v>
      </c>
      <c r="AN638" s="1739">
        <f t="shared" si="1337"/>
        <v>0</v>
      </c>
      <c r="AO638" s="1739">
        <f t="shared" si="1337"/>
        <v>0</v>
      </c>
    </row>
    <row r="639" spans="1:41" ht="35" thickBot="1" x14ac:dyDescent="0.25">
      <c r="B639" s="1700"/>
      <c r="C639" s="722" t="s">
        <v>616</v>
      </c>
      <c r="D639" s="723"/>
      <c r="E639" s="723"/>
      <c r="F639" s="724"/>
      <c r="G639" s="724"/>
      <c r="H639" s="724">
        <f>IF(AND(K635=TRUE,K638=FALSE),H635,IF(AND(K635=FALSE,K638=TRUE),H638,IF(AND(K635=TRUE,K638=TRUE),H635+H638,MAX(H635,H638))))</f>
        <v>10</v>
      </c>
      <c r="I639" s="1354"/>
      <c r="J639" s="725"/>
      <c r="K639" s="726" t="b">
        <f>IF(AND(K635=FALSE,K638=FALSE),FALSE,TRUE)</f>
        <v>1</v>
      </c>
      <c r="L639" s="1338"/>
      <c r="M639" s="1338"/>
      <c r="N639" s="1338"/>
      <c r="O639" s="1355"/>
      <c r="P639" s="1354"/>
      <c r="Q639" s="725"/>
      <c r="R639" s="726" t="b">
        <f>IF(AND(R635=FALSE,R638=FALSE),FALSE,TRUE)</f>
        <v>0</v>
      </c>
      <c r="S639" s="1354"/>
      <c r="T639" s="725"/>
      <c r="U639" s="726" t="b">
        <f>IF(AND(U635=FALSE,U638=FALSE),FALSE,TRUE)</f>
        <v>1</v>
      </c>
      <c r="V639" s="807"/>
      <c r="W639" s="821" t="str">
        <f>IF(K639=TRUE,"V","F")</f>
        <v>V</v>
      </c>
      <c r="X639" s="822"/>
      <c r="Y639" s="821" t="str">
        <f>IF(R639=TRUE,"V","F")</f>
        <v>F</v>
      </c>
      <c r="Z639" s="822"/>
      <c r="AA639" s="821" t="str">
        <f>IF(U639=TRUE,"V","F")</f>
        <v>V</v>
      </c>
      <c r="AB639" s="822"/>
      <c r="AD639" s="10"/>
      <c r="AE639" s="10"/>
      <c r="AF639" s="10"/>
      <c r="AG639" s="591">
        <f>IF(AND($K635=TRUE,$K638=FALSE),AG635,IF(AND($K635=FALSE,$K638=TRUE),AG638,IF(AND($K635=TRUE,$K638=TRUE),AG635+AG638,0)))</f>
        <v>10</v>
      </c>
      <c r="AH639" s="591">
        <f>IF(AND($R635=TRUE,$R638=FALSE),AH635,IF(AND($R635=FALSE,$R638=TRUE),AH638,IF(AND($R635=TRUE,$R638=TRUE),AH635+AH638,0)))</f>
        <v>0</v>
      </c>
      <c r="AI639" s="591">
        <f>IF(AND($U635=TRUE,$U638=FALSE),AI635,IF(AND($U635=FALSE,$U638=TRUE),AI638,IF(AND($U635=TRUE,$U638=TRUE),AI635+AI638,0)))</f>
        <v>10</v>
      </c>
      <c r="AJ639" s="591">
        <f>IF(AND($K635=TRUE,$K638=FALSE),AJ635,IF(AND($K635=FALSE,$K638=TRUE),AJ638,IF(AND($K635=TRUE,$K638=TRUE),AJ635+AJ638,MAX(AJ635,AJ638))))</f>
        <v>7</v>
      </c>
      <c r="AK639" s="591">
        <f>IF(AND($K635=TRUE,$K638=FALSE),AK635,IF(AND($K635=FALSE,$K638=TRUE),AK638,IF(AND($K635=TRUE,$K638=TRUE),AK635+AK638,MAX(AK635,AK638))))</f>
        <v>10</v>
      </c>
      <c r="AL639" s="591">
        <f t="shared" ref="AL639:AM639" si="1338">IF(AND($R635=TRUE,$R638=FALSE),AL635,IF(AND($R635=FALSE,$R638=TRUE),AL638,IF(AND($R635=TRUE,$R638=TRUE),AL635+AL638,MAX(AL635,AL638))))</f>
        <v>0</v>
      </c>
      <c r="AM639" s="591">
        <f t="shared" si="1338"/>
        <v>0</v>
      </c>
      <c r="AN639" s="591">
        <f t="shared" ref="AN639:AO639" si="1339">IF(AND($U635=TRUE,$U638=FALSE),AN635,IF(AND($U635=FALSE,$U638=TRUE),AN638,IF(AND($U635=TRUE,$U638=TRUE),AN635+AN638,MAX(AN635,AN638))))</f>
        <v>4</v>
      </c>
      <c r="AO639" s="591">
        <f t="shared" si="1339"/>
        <v>10</v>
      </c>
    </row>
    <row r="640" spans="1:41" ht="21" x14ac:dyDescent="0.2">
      <c r="B640" s="1700"/>
      <c r="C640" s="287"/>
      <c r="D640" s="25"/>
      <c r="E640" s="48"/>
      <c r="F640" s="709"/>
      <c r="G640" s="708"/>
      <c r="H640" s="709">
        <f>F640*G640</f>
        <v>0</v>
      </c>
      <c r="I640" s="1374"/>
      <c r="J640" s="1375"/>
      <c r="K640" s="31"/>
      <c r="L640" s="31"/>
      <c r="M640" s="31"/>
      <c r="N640" s="31"/>
      <c r="O640" s="1351"/>
      <c r="P640" s="1374"/>
      <c r="Q640" s="1375"/>
      <c r="R640" s="1351"/>
      <c r="S640" s="1350"/>
      <c r="T640" s="1343"/>
      <c r="U640" s="1351"/>
      <c r="V640" s="807"/>
      <c r="W640" s="821" t="s">
        <v>753</v>
      </c>
      <c r="X640" s="822"/>
      <c r="Y640" s="821"/>
      <c r="Z640" s="822"/>
      <c r="AA640" s="821"/>
      <c r="AB640" s="822"/>
      <c r="AD640" s="10"/>
      <c r="AE640" s="10"/>
      <c r="AF640" s="10"/>
      <c r="AG640" s="832">
        <f>IF($K640=TRUE,H640,0)</f>
        <v>0</v>
      </c>
      <c r="AH640" s="832">
        <f>IF($R640=TRUE,H640,0)</f>
        <v>0</v>
      </c>
      <c r="AI640" s="832"/>
      <c r="AJ640" s="1490">
        <f t="shared" ref="AJ640:AJ641" si="1340">IF(OR(I640=11,A640="F"),0,G640*I640)</f>
        <v>0</v>
      </c>
      <c r="AK640" s="1490">
        <f t="shared" ref="AK640:AK641" si="1341">IF(OR(J640=11,A640="F"),0,G640*J640)</f>
        <v>0</v>
      </c>
      <c r="AL640" s="1490">
        <f t="shared" ref="AL640:AL641" si="1342">IF(OR(P640=11,A640="F"),0,G640*P640)</f>
        <v>0</v>
      </c>
      <c r="AM640" s="1490">
        <f t="shared" ref="AM640:AM641" si="1343">IF(OR(Q640=11,A640="F"),0,G640*Q640)</f>
        <v>0</v>
      </c>
      <c r="AN640" s="1490">
        <f t="shared" ref="AN640:AN641" si="1344">IF(OR(S640=11,A640="F"),0,S640*G640)</f>
        <v>0</v>
      </c>
      <c r="AO640" s="1490">
        <f t="shared" ref="AO640:AO641" si="1345">IF(OR(T640=11,A640="F"),0,T640*G640)</f>
        <v>0</v>
      </c>
    </row>
    <row r="641" spans="1:41" ht="17" thickBot="1" x14ac:dyDescent="0.25">
      <c r="B641" s="1700"/>
      <c r="C641" s="287"/>
      <c r="D641" s="698"/>
      <c r="E641" s="48"/>
      <c r="F641" s="709"/>
      <c r="G641" s="708"/>
      <c r="H641" s="709">
        <f>F641*G641</f>
        <v>0</v>
      </c>
      <c r="I641" s="1374"/>
      <c r="J641" s="1375"/>
      <c r="K641" s="31"/>
      <c r="L641" s="31"/>
      <c r="M641" s="31"/>
      <c r="N641" s="31"/>
      <c r="O641" s="1351"/>
      <c r="P641" s="1374"/>
      <c r="Q641" s="1375"/>
      <c r="R641" s="1351"/>
      <c r="S641" s="1374"/>
      <c r="T641" s="1375"/>
      <c r="U641" s="1351"/>
      <c r="V641" s="807"/>
      <c r="W641" s="821"/>
      <c r="X641" s="822"/>
      <c r="Y641" s="821"/>
      <c r="Z641" s="822"/>
      <c r="AA641" s="821"/>
      <c r="AB641" s="822"/>
      <c r="AD641" s="10"/>
      <c r="AE641" s="10"/>
      <c r="AF641" s="10"/>
      <c r="AG641" s="832">
        <f>IF($K641=TRUE,H641,0)</f>
        <v>0</v>
      </c>
      <c r="AH641" s="832">
        <f>IF($R641=TRUE,H641,0)</f>
        <v>0</v>
      </c>
      <c r="AI641" s="832"/>
      <c r="AJ641" s="1490">
        <f t="shared" si="1340"/>
        <v>0</v>
      </c>
      <c r="AK641" s="1490">
        <f t="shared" si="1341"/>
        <v>0</v>
      </c>
      <c r="AL641" s="1490">
        <f t="shared" si="1342"/>
        <v>0</v>
      </c>
      <c r="AM641" s="1490">
        <f t="shared" si="1343"/>
        <v>0</v>
      </c>
      <c r="AN641" s="1490">
        <f t="shared" si="1344"/>
        <v>0</v>
      </c>
      <c r="AO641" s="1490">
        <f t="shared" si="1345"/>
        <v>0</v>
      </c>
    </row>
    <row r="642" spans="1:41" ht="17" thickBot="1" x14ac:dyDescent="0.25">
      <c r="B642" s="1700"/>
      <c r="C642" s="727" t="s">
        <v>611</v>
      </c>
      <c r="D642" s="728">
        <f>_xlfn.XLOOKUP(H642,H640:H641,D640:D641)</f>
        <v>0</v>
      </c>
      <c r="E642" s="728"/>
      <c r="F642" s="729"/>
      <c r="G642" s="729"/>
      <c r="H642" s="729">
        <f>IF(AND(K640=TRUE,K641=FALSE),H640,IF(AND(K640=FALSE,K641=TRUE),H641,MAX(H640,H641)))</f>
        <v>0</v>
      </c>
      <c r="I642" s="1356"/>
      <c r="J642" s="730"/>
      <c r="K642" s="731" t="b">
        <f>IF(AND(K640=FALSE,K641=FALSE),FALSE,TRUE)</f>
        <v>0</v>
      </c>
      <c r="L642" s="1339"/>
      <c r="M642" s="1339"/>
      <c r="N642" s="1339"/>
      <c r="O642" s="1357"/>
      <c r="P642" s="1356"/>
      <c r="Q642" s="730"/>
      <c r="R642" s="731" t="b">
        <f>IF(AND(R640=FALSE,R641=FALSE),FALSE,TRUE)</f>
        <v>0</v>
      </c>
      <c r="S642" s="1356"/>
      <c r="T642" s="730"/>
      <c r="U642" s="731"/>
      <c r="V642" s="807"/>
      <c r="W642" s="821" t="str">
        <f>IF(K642=TRUE,"V","F")</f>
        <v>F</v>
      </c>
      <c r="X642" s="822"/>
      <c r="Y642" s="821" t="str">
        <f>IF(R642=TRUE,"V","F")</f>
        <v>F</v>
      </c>
      <c r="Z642" s="822"/>
      <c r="AA642" s="821"/>
      <c r="AB642" s="822"/>
      <c r="AD642" s="10"/>
      <c r="AE642" s="10"/>
      <c r="AF642" s="10"/>
      <c r="AG642" s="1742">
        <f>IF(AND($K640=TRUE,$K641=FALSE),AG640,IF(AND($K640=FALSE,$K641=TRUE),AG641,IF(AND($K640=TRUE,$K641=TRUE),MAX(AG640,AG641),0)))</f>
        <v>0</v>
      </c>
      <c r="AH642" s="1742">
        <f>IF(AND($R640=TRUE,$R641=FALSE),AH640,IF(AND($R640=FALSE,$R641=TRUE),AH641,IF(AND($R640=TRUE,$R641=TRUE),MAX(AH640,AH641),0)))</f>
        <v>0</v>
      </c>
      <c r="AI642" s="1742"/>
      <c r="AJ642" s="1742">
        <f>IF(AND($K640=TRUE,$K641=FALSE),AJ640,IF(AND($K640=FALSE,$K641=TRUE),AJ641,IF(AND($K640=TRUE,$K641=TRUE),MAX(AJ640,AJ641),0)))</f>
        <v>0</v>
      </c>
      <c r="AK642" s="1742">
        <f>IF(AND($K640=TRUE,$K641=FALSE),AK640,IF(AND($K640=FALSE,$K641=TRUE),AK641,IF(AND($K640=TRUE,$K641=TRUE),MAX(AK640,AK641),0)))</f>
        <v>0</v>
      </c>
      <c r="AL642" s="1742">
        <f t="shared" ref="AL642:AM642" si="1346">IF(AND($R640=TRUE,$R641=FALSE),AL640,IF(AND($R640=FALSE,$R641=TRUE),AL641,IF(AND($R640=TRUE,$R641=TRUE),MAX(AL640,AL641),0)))</f>
        <v>0</v>
      </c>
      <c r="AM642" s="1742">
        <f t="shared" si="1346"/>
        <v>0</v>
      </c>
      <c r="AN642" s="1742"/>
      <c r="AO642" s="1742"/>
    </row>
    <row r="643" spans="1:41" ht="17" x14ac:dyDescent="0.2">
      <c r="B643" s="1700"/>
      <c r="D643" s="386" t="s">
        <v>273</v>
      </c>
      <c r="E643" s="705"/>
      <c r="F643" s="439" t="s">
        <v>349</v>
      </c>
      <c r="G643" s="33"/>
      <c r="H643" s="33">
        <f>IF(AND(K639=TRUE,K642=FALSE),H639,IF(AND(K639=FALSE,K642=TRUE),H642,IF(AND(K639=TRUE,K642=TRUE),H639+H642,MAX(H639,H642))))</f>
        <v>10</v>
      </c>
      <c r="I643" s="1358"/>
      <c r="J643" s="440"/>
      <c r="K643" s="1341"/>
      <c r="L643" s="1342"/>
      <c r="M643" s="1342"/>
      <c r="N643" s="1342"/>
      <c r="O643" s="1359"/>
      <c r="P643" s="1358"/>
      <c r="Q643" s="440"/>
      <c r="R643" s="1367"/>
      <c r="S643" s="1358"/>
      <c r="T643" s="440"/>
      <c r="U643" s="1367"/>
      <c r="V643" s="145"/>
      <c r="W643" s="823"/>
      <c r="X643" s="824">
        <f>IF(AND(W639="V",W642="V"),2,IF(OR(W639="V",W642="V"),1,0))</f>
        <v>1</v>
      </c>
      <c r="Y643" s="823"/>
      <c r="Z643" s="824">
        <f>IF(OR(Y639="V",Y642="V"),1,0)</f>
        <v>0</v>
      </c>
      <c r="AA643" s="823"/>
      <c r="AB643" s="824"/>
      <c r="AD643" s="10"/>
      <c r="AE643" s="10"/>
      <c r="AF643" s="10"/>
      <c r="AG643" s="1738">
        <f>IF(AND($W639="V",$W642="F"),AG639,IF(AND($W639="F",$W642="V"),AG642,IF(AND($W639="V",$W642="V"),AG639+AG642,0)))</f>
        <v>10</v>
      </c>
      <c r="AH643" s="1738">
        <f>IF(AND($Y639="V",$Y642="F"),AH639,IF(AND($Y639="F",$Y642="V"),AH642,IF(AND($Y639="V",$Y642="V"),AH639+AH642,0)))</f>
        <v>0</v>
      </c>
      <c r="AI643" s="1738"/>
      <c r="AJ643" s="1738">
        <f>IF(AND($W639="V",$W642="F"),AJ639,IF(AND($W639="F",$W642="V"),AJ642,IF(AND($W639="V",$W642="V"),AJ639+AJ642,0)))</f>
        <v>7</v>
      </c>
      <c r="AK643" s="1738">
        <f>IF(AND($W639="V",$W642="F"),AK639,IF(AND($W639="F",$W642="V"),AK642,IF(AND($W639="V",$W642="V"),AK639+AK642,0)))</f>
        <v>10</v>
      </c>
      <c r="AL643" s="1738">
        <f>IF(AND($Y639="V",$Y642="F"),AL639,IF(AND($Y639="F",$Y642="V"),AL642,IF(AND($Y639="V",$Y642="V"),AL639+AL642,0)))</f>
        <v>0</v>
      </c>
      <c r="AM643" s="1738">
        <f>IF(AND($Y639="V",$Y642="F"),AM639,IF(AND($Y639="F",$Y642="V"),AM642,IF(AND($Y639="V",$Y642="V"),AM639+AM642,0)))</f>
        <v>0</v>
      </c>
      <c r="AN643" s="1738"/>
      <c r="AO643" s="1738"/>
    </row>
    <row r="644" spans="1:41" ht="16" x14ac:dyDescent="0.2">
      <c r="B644" s="1700"/>
      <c r="C644" t="s">
        <v>238</v>
      </c>
      <c r="I644" s="122"/>
      <c r="L644" s="32"/>
      <c r="M644" s="32"/>
      <c r="N644" s="32"/>
      <c r="O644" s="1379"/>
      <c r="P644" s="122"/>
      <c r="R644" s="292"/>
      <c r="S644" s="122"/>
      <c r="U644" s="292"/>
      <c r="V644" s="32"/>
      <c r="W644" s="821"/>
      <c r="X644" s="822"/>
      <c r="Y644" s="821"/>
      <c r="Z644" s="822"/>
      <c r="AA644" s="821"/>
      <c r="AB644" s="822"/>
      <c r="AD644" s="10"/>
      <c r="AE644" s="10"/>
      <c r="AF644" s="10"/>
      <c r="AG644" s="832"/>
      <c r="AH644" s="832"/>
      <c r="AI644" s="832"/>
      <c r="AJ644" s="1490"/>
      <c r="AK644" s="1490"/>
      <c r="AL644" s="1490"/>
      <c r="AM644" s="1490"/>
      <c r="AN644" s="1490"/>
      <c r="AO644" s="1490"/>
    </row>
    <row r="645" spans="1:41" ht="40" x14ac:dyDescent="0.2">
      <c r="A645" t="str">
        <f>IF(Test_Bible!B123="","F","O")</f>
        <v>O</v>
      </c>
      <c r="B645" s="2148" t="s">
        <v>1823</v>
      </c>
      <c r="C645" s="825" t="str">
        <f>'Cpts AR +indép + Sommaire'!U93</f>
        <v>PCR02</v>
      </c>
      <c r="D645" s="829" t="str">
        <f>'Cpts AR +indép + Sommaire'!V93</f>
        <v>Vous devez faire des compromis afin d'assurer une bonne entente de garde.</v>
      </c>
      <c r="E645" s="826"/>
      <c r="F645" s="830">
        <f>'Cpts AR +indép + Sommaire'!W93</f>
        <v>10</v>
      </c>
      <c r="G645" s="830">
        <f>'Cpts AR +indép + Sommaire'!X93</f>
        <v>1</v>
      </c>
      <c r="H645" s="830">
        <f>F645*G645</f>
        <v>10</v>
      </c>
      <c r="I645" s="1350">
        <v>7</v>
      </c>
      <c r="J645" s="1343">
        <v>10</v>
      </c>
      <c r="K645" s="31" t="b">
        <f>IF(AND(F645&gt;=I645,F645&lt;=J645),TRUE,FALSE)</f>
        <v>1</v>
      </c>
      <c r="L645" s="26"/>
      <c r="M645" s="26"/>
      <c r="N645" s="26"/>
      <c r="O645" s="1360"/>
      <c r="P645" s="1374">
        <v>11</v>
      </c>
      <c r="Q645" s="1375">
        <v>11</v>
      </c>
      <c r="R645" s="1351" t="b">
        <f>IF(AND(F645&gt;=P645,F645&lt;=Q645),TRUE,FALSE)</f>
        <v>0</v>
      </c>
      <c r="S645" s="1350">
        <v>4</v>
      </c>
      <c r="T645" s="1343">
        <v>10</v>
      </c>
      <c r="U645" s="1351" t="b">
        <f>IF(AND(F645&gt;=S645,F645&lt;=T645),TRUE,FALSE)</f>
        <v>1</v>
      </c>
      <c r="V645" s="32"/>
      <c r="W645" s="821"/>
      <c r="X645" s="822"/>
      <c r="Y645" s="821"/>
      <c r="Z645" s="822"/>
      <c r="AA645" s="821"/>
      <c r="AB645" s="822"/>
      <c r="AD645" s="10"/>
      <c r="AE645" s="10"/>
      <c r="AF645" s="10"/>
      <c r="AG645" s="832">
        <f>IF($K645=TRUE,H645,0)</f>
        <v>10</v>
      </c>
      <c r="AH645" s="832">
        <f>IF($R645=TRUE,H645,0)</f>
        <v>0</v>
      </c>
      <c r="AI645" s="832">
        <f>IF($U645=TRUE,H645,0)</f>
        <v>10</v>
      </c>
      <c r="AJ645" s="1490">
        <f t="shared" ref="AJ645:AJ646" si="1347">IF(OR(I645=11,A645="F"),0,G645*I645)</f>
        <v>7</v>
      </c>
      <c r="AK645" s="1490">
        <f t="shared" ref="AK645:AK646" si="1348">IF(OR(J645=11,A645="F"),0,G645*J645)</f>
        <v>10</v>
      </c>
      <c r="AL645" s="1490">
        <f t="shared" ref="AL645:AL646" si="1349">IF(OR(P645=11,A645="F"),0,G645*P645)</f>
        <v>0</v>
      </c>
      <c r="AM645" s="1490">
        <f t="shared" ref="AM645:AM646" si="1350">IF(OR(Q645=11,A645="F"),0,G645*Q645)</f>
        <v>0</v>
      </c>
      <c r="AN645" s="1490">
        <f t="shared" ref="AN645:AN646" si="1351">IF(OR(S645=11,A645="F"),0,S645*G645)</f>
        <v>4</v>
      </c>
      <c r="AO645" s="1490">
        <f t="shared" ref="AO645:AO646" si="1352">IF(OR(T645=11,A645="F"),0,T645*G645)</f>
        <v>10</v>
      </c>
    </row>
    <row r="646" spans="1:41" ht="20" thickBot="1" x14ac:dyDescent="0.25">
      <c r="B646" s="1700"/>
      <c r="C646" s="825"/>
      <c r="D646" s="829"/>
      <c r="E646" s="826"/>
      <c r="F646" s="830"/>
      <c r="G646" s="830"/>
      <c r="H646" s="830">
        <f>F646*G646</f>
        <v>0</v>
      </c>
      <c r="I646" s="1374">
        <v>11</v>
      </c>
      <c r="J646" s="1375">
        <v>11</v>
      </c>
      <c r="K646" s="31" t="b">
        <f>IF(AND(F646&gt;=I646,F646&lt;=J646),TRUE,FALSE)</f>
        <v>0</v>
      </c>
      <c r="L646" s="26"/>
      <c r="M646" s="26"/>
      <c r="N646" s="26"/>
      <c r="O646" s="1360"/>
      <c r="P646" s="1374">
        <v>11</v>
      </c>
      <c r="Q646" s="1375">
        <v>11</v>
      </c>
      <c r="R646" s="1351" t="b">
        <f>IF(AND(F646&gt;=P646,F646&lt;=Q646),TRUE,FALSE)</f>
        <v>0</v>
      </c>
      <c r="S646" s="1374">
        <v>11</v>
      </c>
      <c r="T646" s="1375">
        <v>11</v>
      </c>
      <c r="U646" s="1351" t="b">
        <f>IF(AND(F646&gt;=S646,F646&lt;=T646),TRUE,FALSE)</f>
        <v>0</v>
      </c>
      <c r="W646" s="821"/>
      <c r="X646" s="822"/>
      <c r="Y646" s="821"/>
      <c r="Z646" s="822"/>
      <c r="AA646" s="821"/>
      <c r="AB646" s="822"/>
      <c r="AD646" s="10"/>
      <c r="AE646" s="10"/>
      <c r="AF646" s="10"/>
      <c r="AG646" s="832">
        <f>IF($K646=TRUE,H646,0)</f>
        <v>0</v>
      </c>
      <c r="AH646" s="832">
        <f>IF($R646=TRUE,H646,0)</f>
        <v>0</v>
      </c>
      <c r="AI646" s="832">
        <f>IF($U646=TRUE,H646,0)</f>
        <v>0</v>
      </c>
      <c r="AJ646" s="1490">
        <f t="shared" si="1347"/>
        <v>0</v>
      </c>
      <c r="AK646" s="1490">
        <f t="shared" si="1348"/>
        <v>0</v>
      </c>
      <c r="AL646" s="1490">
        <f t="shared" si="1349"/>
        <v>0</v>
      </c>
      <c r="AM646" s="1490">
        <f t="shared" si="1350"/>
        <v>0</v>
      </c>
      <c r="AN646" s="1490">
        <f t="shared" si="1351"/>
        <v>0</v>
      </c>
      <c r="AO646" s="1490">
        <f t="shared" si="1352"/>
        <v>0</v>
      </c>
    </row>
    <row r="647" spans="1:41" ht="27" thickBot="1" x14ac:dyDescent="0.35">
      <c r="B647" s="1700"/>
      <c r="E647" s="732"/>
      <c r="F647" s="73"/>
      <c r="G647" s="73"/>
      <c r="H647" s="33">
        <f>IF(AND(K645=TRUE,K646=FALSE),H645,IF(AND(K645=FALSE,K646=TRUE),H646,MAX(H645,H646)))</f>
        <v>10</v>
      </c>
      <c r="I647" s="1371"/>
      <c r="J647" s="1372"/>
      <c r="K647" s="1378" t="b">
        <f>IF(AND(K645=FALSE,K646=FALSE),FALSE,TRUE)</f>
        <v>1</v>
      </c>
      <c r="L647" s="1361"/>
      <c r="M647" s="1362"/>
      <c r="N647" s="1362"/>
      <c r="O647" s="1363"/>
      <c r="P647" s="1371"/>
      <c r="Q647" s="1372"/>
      <c r="R647" s="1378" t="b">
        <f>IF(AND(R645=FALSE,R646=FALSE),FALSE,TRUE)</f>
        <v>0</v>
      </c>
      <c r="S647" s="1383"/>
      <c r="T647" s="1384"/>
      <c r="U647" s="1385" t="b">
        <f>IF(AND(U645=FALSE,U646=FALSE),FALSE,TRUE)</f>
        <v>1</v>
      </c>
      <c r="V647" s="73"/>
      <c r="W647" s="1315" t="str">
        <f>IF(K647=TRUE,"V","F")</f>
        <v>V</v>
      </c>
      <c r="X647" s="1316"/>
      <c r="Y647" s="1315" t="str">
        <f>IF(R647=TRUE,"V","F")</f>
        <v>F</v>
      </c>
      <c r="Z647" s="1316"/>
      <c r="AA647" s="1315" t="str">
        <f>IF(U647=TRUE,"V","F")</f>
        <v>V</v>
      </c>
      <c r="AB647" s="1316"/>
      <c r="AD647" s="10"/>
      <c r="AE647" s="10"/>
      <c r="AF647" s="10"/>
      <c r="AG647" s="1742">
        <f>IF(AND($K645=TRUE,$K646=FALSE),AG645,IF(AND($K645=FALSE,$K646=TRUE),AG646,MAX(AG645,AG646)))</f>
        <v>10</v>
      </c>
      <c r="AH647" s="1742">
        <f>IF(AND($R645=TRUE,$R646=FALSE),AH645,IF(AND($R645=FALSE,$R646=TRUE),AH646,MAX(AH645,AH646)))</f>
        <v>0</v>
      </c>
      <c r="AI647" s="1742">
        <f>IF(AND($U645=TRUE,$U646=FALSE),AI645,IF(AND($U645=FALSE,$U646=TRUE),AI646,MAX(AI645,AI646)))</f>
        <v>10</v>
      </c>
      <c r="AJ647" s="1742">
        <f>IF(AND($K645=TRUE,$K646=FALSE),AJ645,IF(AND($K645=FALSE,$K646=TRUE),AJ646,MAX(AJ645,AJ646)))</f>
        <v>7</v>
      </c>
      <c r="AK647" s="1742">
        <f>IF(AND($K645=TRUE,$K646=FALSE),AK645,IF(AND($K645=FALSE,$K646=TRUE),AK646,MAX(AK645,AK646)))</f>
        <v>10</v>
      </c>
      <c r="AL647" s="1742">
        <f>IF(AND($R645=TRUE,$R646=FALSE),AL645,IF(AND($R645=FALSE,$R646=TRUE),AL646,MAX(AL645,AL646)))</f>
        <v>0</v>
      </c>
      <c r="AM647" s="1742">
        <f>IF(AND($R645=TRUE,$R646=FALSE),AM645,IF(AND($R645=FALSE,$R646=TRUE),AM646,MAX(AM645,AM646)))</f>
        <v>0</v>
      </c>
      <c r="AN647" s="1742">
        <f>IF(AND($U645=TRUE,$U646=FALSE),AN645,IF(AND($U645=FALSE,$U646=TRUE),AN646,MAX(AN645,AN646)))</f>
        <v>4</v>
      </c>
      <c r="AO647" s="1742">
        <f>IF(AND($U645=TRUE,$U646=FALSE),AO645,IF(AND($U645=FALSE,$U646=TRUE),AO646,MAX(AO645,AO646)))</f>
        <v>10</v>
      </c>
    </row>
    <row r="648" spans="1:41" ht="21" x14ac:dyDescent="0.25">
      <c r="B648" s="1700"/>
      <c r="W648" s="1376"/>
      <c r="X648" s="1377">
        <f>IF(AND(W647="V",W639="V"),X643-1,X643)</f>
        <v>0</v>
      </c>
      <c r="Y648" s="1376"/>
      <c r="Z648" s="1377">
        <f>IF(OR(Y639="V",Y642="V",Y647="V"),1,0)</f>
        <v>0</v>
      </c>
      <c r="AA648" s="1376"/>
      <c r="AB648" s="1377">
        <f>IF(AA639="V",1,IF(AA647="V",1,0))</f>
        <v>1</v>
      </c>
      <c r="AD648" s="10">
        <f>X648</f>
        <v>0</v>
      </c>
      <c r="AE648" s="10">
        <f>Z648</f>
        <v>0</v>
      </c>
      <c r="AF648" s="10">
        <f>AB648</f>
        <v>1</v>
      </c>
      <c r="AG648" s="1741">
        <f>IF($W647="F",AG643,AG643+AG647)</f>
        <v>20</v>
      </c>
      <c r="AH648" s="1741">
        <f>IF($Y647="F",AH643,AH643+AH647)</f>
        <v>0</v>
      </c>
      <c r="AI648" s="1741">
        <f>IF(AND($AA639="V",$AA647="F"),AI639,IF(AND($AA639="F",$AA647="V"),AI647,IF(AND($AA639="V",$AA647="V"),AI639+AI647,0)))</f>
        <v>20</v>
      </c>
      <c r="AJ648" s="1741">
        <f>IF($W647="F",AJ643,AJ643+AJ647)</f>
        <v>14</v>
      </c>
      <c r="AK648" s="1741">
        <f t="shared" ref="AK648" si="1353">IF($W647="F",AK643,AK643+AK647)</f>
        <v>20</v>
      </c>
      <c r="AL648" s="1741">
        <f t="shared" ref="AL648:AM648" si="1354">IF($Y647="F",AL643,AL643+AL647)</f>
        <v>0</v>
      </c>
      <c r="AM648" s="1741">
        <f t="shared" si="1354"/>
        <v>0</v>
      </c>
      <c r="AN648" s="1741">
        <f t="shared" ref="AN648:AO648" si="1355">IF(AND($AA639="V",$AA647="F"),AN639,IF(AND($AA639="F",$AA647="V"),AN647,IF(AND($AA639="V",$AA647="V"),AN639+AN647,0)))</f>
        <v>8</v>
      </c>
      <c r="AO648" s="1741">
        <f t="shared" si="1355"/>
        <v>20</v>
      </c>
    </row>
    <row r="649" spans="1:41" ht="21" x14ac:dyDescent="0.25">
      <c r="B649" s="1700"/>
      <c r="W649" s="2034"/>
      <c r="X649" s="2034"/>
      <c r="Y649" s="2034"/>
      <c r="Z649" s="2034"/>
      <c r="AA649" s="2034"/>
      <c r="AB649" s="2034"/>
      <c r="AG649" s="5"/>
      <c r="AH649" s="5"/>
      <c r="AI649" s="5"/>
    </row>
    <row r="650" spans="1:41" ht="16" x14ac:dyDescent="0.2">
      <c r="B650" s="1700"/>
      <c r="W650" s="1387"/>
      <c r="X650" s="1388"/>
      <c r="Y650" s="1231"/>
      <c r="AD650" s="10"/>
      <c r="AE650" s="10"/>
      <c r="AF650" s="10"/>
    </row>
    <row r="651" spans="1:41" x14ac:dyDescent="0.3">
      <c r="E651" s="85" t="s">
        <v>268</v>
      </c>
      <c r="F651" s="2593" t="s">
        <v>254</v>
      </c>
      <c r="G651" s="2593"/>
      <c r="H651" s="2593"/>
      <c r="I651" s="2593"/>
      <c r="J651" s="2593"/>
      <c r="K651" s="703"/>
      <c r="L651" s="2594"/>
      <c r="M651" s="2594"/>
      <c r="N651" s="2594"/>
      <c r="O651" s="703"/>
      <c r="P651" s="703"/>
      <c r="Q651" s="703"/>
      <c r="R651" s="703"/>
      <c r="S651" s="703"/>
      <c r="T651" s="703"/>
      <c r="U651" s="703"/>
      <c r="V651" s="73"/>
      <c r="AD651" s="10"/>
      <c r="AE651" s="10"/>
      <c r="AF651" s="10"/>
    </row>
    <row r="652" spans="1:41" x14ac:dyDescent="0.3">
      <c r="B652" s="1699">
        <v>6</v>
      </c>
      <c r="D652" s="441" t="str">
        <f>'Cpts AR +indép + Sommaire'!B95</f>
        <v>Respect de l'ordonnance de garde</v>
      </c>
      <c r="E652" s="84"/>
      <c r="F652" s="50"/>
      <c r="G652" s="18"/>
      <c r="H652" s="18"/>
      <c r="I652" s="2595" t="s">
        <v>604</v>
      </c>
      <c r="J652" s="2596"/>
      <c r="K652" s="2596"/>
      <c r="L652" s="2597" t="s">
        <v>1086</v>
      </c>
      <c r="M652" s="2597"/>
      <c r="N652" s="2597"/>
      <c r="O652" s="2598"/>
      <c r="P652" s="2599" t="s">
        <v>603</v>
      </c>
      <c r="Q652" s="2600"/>
      <c r="R652" s="2601"/>
      <c r="S652" s="2590" t="s">
        <v>605</v>
      </c>
      <c r="T652" s="2591"/>
      <c r="U652" s="2592"/>
      <c r="V652" s="15"/>
      <c r="W652" s="817"/>
      <c r="X652" s="817"/>
      <c r="Y652" s="817"/>
      <c r="Z652" s="817"/>
      <c r="AA652" s="817"/>
      <c r="AB652" s="818"/>
      <c r="AD652" s="10"/>
      <c r="AE652" s="10"/>
      <c r="AF652" s="10"/>
      <c r="AG652" s="1386" t="s">
        <v>604</v>
      </c>
      <c r="AH652" s="1386" t="s">
        <v>603</v>
      </c>
      <c r="AI652" s="1386" t="s">
        <v>605</v>
      </c>
      <c r="AJ652" s="2589" t="s">
        <v>604</v>
      </c>
      <c r="AK652" s="2589"/>
      <c r="AL652" s="2589" t="s">
        <v>603</v>
      </c>
      <c r="AM652" s="2589"/>
      <c r="AN652" s="2589" t="s">
        <v>605</v>
      </c>
      <c r="AO652" s="2589"/>
    </row>
    <row r="653" spans="1:41" ht="34" x14ac:dyDescent="0.2">
      <c r="B653" s="1700"/>
      <c r="D653" s="79" t="s">
        <v>779</v>
      </c>
      <c r="E653" s="835"/>
      <c r="F653" s="26" t="s">
        <v>226</v>
      </c>
      <c r="G653" s="26" t="s">
        <v>22</v>
      </c>
      <c r="H653" s="26" t="s">
        <v>612</v>
      </c>
      <c r="I653" s="1348" t="s">
        <v>269</v>
      </c>
      <c r="J653" s="29" t="s">
        <v>270</v>
      </c>
      <c r="K653" s="29" t="s">
        <v>271</v>
      </c>
      <c r="L653" s="29" t="s">
        <v>363</v>
      </c>
      <c r="M653" s="29" t="s">
        <v>339</v>
      </c>
      <c r="N653" s="29" t="s">
        <v>340</v>
      </c>
      <c r="O653" s="1349" t="s">
        <v>341</v>
      </c>
      <c r="P653" s="1348" t="s">
        <v>269</v>
      </c>
      <c r="Q653" s="29" t="s">
        <v>270</v>
      </c>
      <c r="R653" s="1349" t="s">
        <v>271</v>
      </c>
      <c r="S653" s="1348" t="s">
        <v>269</v>
      </c>
      <c r="T653" s="29" t="s">
        <v>270</v>
      </c>
      <c r="U653" s="1349" t="s">
        <v>271</v>
      </c>
      <c r="V653" s="736"/>
      <c r="W653" s="827" t="s">
        <v>604</v>
      </c>
      <c r="X653" s="828" t="s">
        <v>754</v>
      </c>
      <c r="Y653" s="827" t="s">
        <v>603</v>
      </c>
      <c r="Z653" s="828" t="s">
        <v>755</v>
      </c>
      <c r="AA653" s="827" t="s">
        <v>605</v>
      </c>
      <c r="AB653" s="828" t="s">
        <v>756</v>
      </c>
      <c r="AD653" s="10"/>
      <c r="AE653" s="10"/>
      <c r="AF653" s="10"/>
      <c r="AG653" s="10"/>
      <c r="AH653" s="10"/>
      <c r="AI653" s="10"/>
      <c r="AJ653" s="1490" t="s">
        <v>1058</v>
      </c>
      <c r="AK653" s="1490" t="s">
        <v>1059</v>
      </c>
      <c r="AL653" s="1490" t="s">
        <v>1058</v>
      </c>
      <c r="AM653" s="1490" t="s">
        <v>1059</v>
      </c>
      <c r="AN653" s="1490" t="s">
        <v>1058</v>
      </c>
      <c r="AO653" s="1490" t="s">
        <v>1059</v>
      </c>
    </row>
    <row r="654" spans="1:41" ht="34" x14ac:dyDescent="0.2">
      <c r="A654" t="str">
        <f>IF(Test_Bible!B56="","F","O")</f>
        <v>O</v>
      </c>
      <c r="B654" s="1700"/>
      <c r="C654" s="379" t="str">
        <f>'Cpts AR +indép + Sommaire'!C95</f>
        <v>B11a1</v>
      </c>
      <c r="D654" s="698" t="str">
        <f>'Cpts AR +indép + Sommaire'!D95</f>
        <v>Est-ce que l'autre parent (coparent) respecte les ordonnances ou les jugements de la Cour ?</v>
      </c>
      <c r="E654" s="78"/>
      <c r="F654" s="709">
        <f>'Cpts AR +indép + Sommaire'!E95</f>
        <v>0</v>
      </c>
      <c r="G654" s="709">
        <f>'Cpts AR +indép + Sommaire'!F95</f>
        <v>2</v>
      </c>
      <c r="H654" s="709">
        <f>F654*G654</f>
        <v>0</v>
      </c>
      <c r="I654" s="1350">
        <v>7</v>
      </c>
      <c r="J654" s="1343">
        <v>10</v>
      </c>
      <c r="K654" s="31" t="b">
        <f>IF(AND(F654&gt;=I654,F654&lt;=J654),TRUE,FALSE)</f>
        <v>0</v>
      </c>
      <c r="L654" s="31"/>
      <c r="M654" s="31"/>
      <c r="N654" s="31"/>
      <c r="O654" s="1351"/>
      <c r="P654" s="1374">
        <v>11</v>
      </c>
      <c r="Q654" s="1375">
        <v>11</v>
      </c>
      <c r="R654" s="1351" t="b">
        <f>IF(AND(F654&gt;=P654,F654&lt;=Q654),TRUE,FALSE)</f>
        <v>0</v>
      </c>
      <c r="S654" s="1350">
        <v>4</v>
      </c>
      <c r="T654" s="1343">
        <v>10</v>
      </c>
      <c r="U654" s="1351" t="b">
        <f>IF(AND(F654&gt;=S654,F654&lt;=T654),TRUE,FALSE)</f>
        <v>0</v>
      </c>
      <c r="V654" s="807"/>
      <c r="W654" s="819"/>
      <c r="X654" s="820"/>
      <c r="Y654" s="819"/>
      <c r="Z654" s="820"/>
      <c r="AA654" s="819"/>
      <c r="AB654" s="820"/>
      <c r="AD654" s="10"/>
      <c r="AE654" s="10"/>
      <c r="AF654" s="10"/>
      <c r="AG654" s="832">
        <f>IF($K654=TRUE,H654,0)</f>
        <v>0</v>
      </c>
      <c r="AH654" s="832">
        <f>IF($R654=TRUE,H654,0)</f>
        <v>0</v>
      </c>
      <c r="AI654" s="832">
        <f>IF($U654=TRUE,H654,0)</f>
        <v>0</v>
      </c>
      <c r="AJ654" s="1490">
        <f t="shared" ref="AJ654:AJ655" si="1356">IF(OR(I654=11,A654="F"),0,G654*I654)</f>
        <v>14</v>
      </c>
      <c r="AK654" s="1490">
        <f t="shared" ref="AK654:AK655" si="1357">IF(OR(J654=11,A654="F"),0,G654*J654)</f>
        <v>20</v>
      </c>
      <c r="AL654" s="1490">
        <f t="shared" ref="AL654:AL655" si="1358">IF(OR(P654=11,A654="F"),0,G654*P654)</f>
        <v>0</v>
      </c>
      <c r="AM654" s="1490">
        <f t="shared" ref="AM654:AM655" si="1359">IF(OR(Q654=11,A654="F"),0,G654*Q654)</f>
        <v>0</v>
      </c>
      <c r="AN654" s="1490">
        <f t="shared" ref="AN654:AN655" si="1360">IF(OR(S654=11,A654="F"),0,S654*G654)</f>
        <v>8</v>
      </c>
      <c r="AO654" s="1490">
        <f t="shared" ref="AO654:AO655" si="1361">IF(OR(T654=11,A654="F"),0,T654*G654)</f>
        <v>20</v>
      </c>
    </row>
    <row r="655" spans="1:41" ht="16" x14ac:dyDescent="0.2">
      <c r="B655" s="1700"/>
      <c r="C655" s="379"/>
      <c r="D655" s="25"/>
      <c r="E655" s="78"/>
      <c r="F655" s="709"/>
      <c r="G655" s="708"/>
      <c r="H655" s="709">
        <f>F655*G655</f>
        <v>0</v>
      </c>
      <c r="I655" s="1374">
        <v>11</v>
      </c>
      <c r="J655" s="1375">
        <v>11</v>
      </c>
      <c r="K655" s="31" t="b">
        <f>IF(AND(F655&gt;=I655,F655&lt;=J655),TRUE,FALSE)</f>
        <v>0</v>
      </c>
      <c r="L655" s="31"/>
      <c r="M655" s="31"/>
      <c r="N655" s="31"/>
      <c r="O655" s="1351"/>
      <c r="P655" s="1374">
        <v>11</v>
      </c>
      <c r="Q655" s="1375">
        <v>11</v>
      </c>
      <c r="R655" s="1351" t="b">
        <f>IF(AND(F655&gt;=P655,F655&lt;=Q655),TRUE,FALSE)</f>
        <v>0</v>
      </c>
      <c r="S655" s="1374">
        <v>11</v>
      </c>
      <c r="T655" s="1375">
        <v>11</v>
      </c>
      <c r="U655" s="1351" t="b">
        <f>IF(AND(F655&gt;=S655,F655&lt;=T655),TRUE,FALSE)</f>
        <v>0</v>
      </c>
      <c r="V655" s="807"/>
      <c r="W655" s="821"/>
      <c r="X655" s="822"/>
      <c r="Y655" s="821"/>
      <c r="Z655" s="822"/>
      <c r="AA655" s="821"/>
      <c r="AB655" s="822"/>
      <c r="AD655" s="10"/>
      <c r="AE655" s="10"/>
      <c r="AF655" s="10"/>
      <c r="AG655" s="832">
        <f>IF($K655=TRUE,H655,0)</f>
        <v>0</v>
      </c>
      <c r="AH655" s="832">
        <f>IF($R655=TRUE,H655,0)</f>
        <v>0</v>
      </c>
      <c r="AI655" s="832">
        <f>IF($U655=TRUE,H655,0)</f>
        <v>0</v>
      </c>
      <c r="AJ655" s="1490">
        <f t="shared" si="1356"/>
        <v>0</v>
      </c>
      <c r="AK655" s="1490">
        <f t="shared" si="1357"/>
        <v>0</v>
      </c>
      <c r="AL655" s="1490">
        <f t="shared" si="1358"/>
        <v>0</v>
      </c>
      <c r="AM655" s="1490">
        <f t="shared" si="1359"/>
        <v>0</v>
      </c>
      <c r="AN655" s="1490">
        <f t="shared" si="1360"/>
        <v>0</v>
      </c>
      <c r="AO655" s="1490">
        <f t="shared" si="1361"/>
        <v>0</v>
      </c>
    </row>
    <row r="656" spans="1:41" ht="34" x14ac:dyDescent="0.2">
      <c r="B656" s="1700"/>
      <c r="C656" s="710" t="s">
        <v>609</v>
      </c>
      <c r="D656" s="711" t="str">
        <f>_xlfn.XLOOKUP(H656,H654:H655,D654:D655)</f>
        <v>Est-ce que l'autre parent (coparent) respecte les ordonnances ou les jugements de la Cour ?</v>
      </c>
      <c r="E656" s="712"/>
      <c r="F656" s="713"/>
      <c r="G656" s="713"/>
      <c r="H656" s="713">
        <f>IF(AND(K654=TRUE,K655=FALSE),H654,IF(AND(K654=FALSE,K655=TRUE),H655,MAX(H654,H655)))</f>
        <v>0</v>
      </c>
      <c r="I656" s="1352"/>
      <c r="J656" s="714"/>
      <c r="K656" s="715" t="b">
        <f>IF(AND(K654=FALSE,K655=FALSE),FALSE,TRUE)</f>
        <v>0</v>
      </c>
      <c r="L656" s="31"/>
      <c r="M656" s="31"/>
      <c r="N656" s="31"/>
      <c r="O656" s="1351"/>
      <c r="P656" s="1352"/>
      <c r="Q656" s="714"/>
      <c r="R656" s="1365" t="b">
        <f>IF(AND(R654=FALSE,R655=FALSE),FALSE,TRUE)</f>
        <v>0</v>
      </c>
      <c r="S656" s="1352"/>
      <c r="T656" s="714"/>
      <c r="U656" s="1365" t="b">
        <f>IF(AND(U654=FALSE,U655=FALSE),FALSE,TRUE)</f>
        <v>0</v>
      </c>
      <c r="V656" s="807"/>
      <c r="W656" s="821"/>
      <c r="X656" s="822"/>
      <c r="Y656" s="821"/>
      <c r="Z656" s="822"/>
      <c r="AA656" s="821"/>
      <c r="AB656" s="822"/>
      <c r="AD656" s="10"/>
      <c r="AE656" s="10"/>
      <c r="AF656" s="10"/>
      <c r="AG656" s="1740">
        <f>IF($K656=TRUE,MAX(AG654:AG655),0)</f>
        <v>0</v>
      </c>
      <c r="AH656" s="1740">
        <f>IF($R656=TRUE,MAX(AH654:AH655),0)</f>
        <v>0</v>
      </c>
      <c r="AI656" s="1740">
        <f>IF($U656=TRUE,MAX(AI654:AI655),0)</f>
        <v>0</v>
      </c>
      <c r="AJ656" s="1739">
        <f>MAX(AJ654:AJ655)</f>
        <v>14</v>
      </c>
      <c r="AK656" s="1739">
        <f t="shared" ref="AK656" si="1362">MAX(AK654:AK655)</f>
        <v>20</v>
      </c>
      <c r="AL656" s="1739">
        <f t="shared" ref="AL656" si="1363">MAX(AL654:AL655)</f>
        <v>0</v>
      </c>
      <c r="AM656" s="1739">
        <f t="shared" ref="AM656" si="1364">MAX(AM654:AM655)</f>
        <v>0</v>
      </c>
      <c r="AN656" s="1739">
        <f t="shared" ref="AN656" si="1365">MAX(AN654:AN655)</f>
        <v>8</v>
      </c>
      <c r="AO656" s="1739">
        <f t="shared" ref="AO656" si="1366">MAX(AO654:AO655)</f>
        <v>20</v>
      </c>
    </row>
    <row r="657" spans="1:41" ht="16" x14ac:dyDescent="0.2">
      <c r="B657" s="1700"/>
      <c r="C657" s="38"/>
      <c r="D657" s="25"/>
      <c r="E657" s="78"/>
      <c r="F657" s="709"/>
      <c r="G657" s="708"/>
      <c r="H657" s="709">
        <f>F657*G657</f>
        <v>0</v>
      </c>
      <c r="I657" s="1374">
        <v>11</v>
      </c>
      <c r="J657" s="1375">
        <v>11</v>
      </c>
      <c r="K657" s="31" t="b">
        <f>IF(AND(F657&gt;=I657,F657&lt;=J657),TRUE,FALSE)</f>
        <v>0</v>
      </c>
      <c r="L657" s="31"/>
      <c r="M657" s="31"/>
      <c r="N657" s="31"/>
      <c r="O657" s="1351"/>
      <c r="P657" s="1374">
        <v>11</v>
      </c>
      <c r="Q657" s="1375">
        <v>11</v>
      </c>
      <c r="R657" s="1351" t="b">
        <f>IF(AND(F657&gt;=P657,F657&lt;=Q657),TRUE,FALSE)</f>
        <v>0</v>
      </c>
      <c r="S657" s="1374">
        <v>11</v>
      </c>
      <c r="T657" s="1375">
        <v>11</v>
      </c>
      <c r="U657" s="1351" t="b">
        <f>IF(AND(F657&gt;=S657,F657&lt;=T657),TRUE,FALSE)</f>
        <v>0</v>
      </c>
      <c r="V657" s="807"/>
      <c r="W657" s="821"/>
      <c r="X657" s="822"/>
      <c r="Y657" s="821"/>
      <c r="Z657" s="822"/>
      <c r="AA657" s="821"/>
      <c r="AB657" s="822"/>
      <c r="AD657" s="10"/>
      <c r="AE657" s="10"/>
      <c r="AF657" s="10"/>
      <c r="AG657" s="832">
        <f>IF(K657=TRUE,H657,0)</f>
        <v>0</v>
      </c>
      <c r="AH657" s="832">
        <f>IF(R657=TRUE,H657,0)</f>
        <v>0</v>
      </c>
      <c r="AI657" s="832">
        <f>IF(U657=TRUE,H657,0)</f>
        <v>0</v>
      </c>
      <c r="AJ657" s="1490">
        <f t="shared" ref="AJ657:AJ658" si="1367">IF(OR(I657=11,A657="F"),0,G657*I657)</f>
        <v>0</v>
      </c>
      <c r="AK657" s="1490">
        <f t="shared" ref="AK657:AK658" si="1368">IF(OR(J657=11,A657="F"),0,G657*J657)</f>
        <v>0</v>
      </c>
      <c r="AL657" s="1490">
        <f t="shared" ref="AL657:AL658" si="1369">IF(OR(P657=11,A657="F"),0,G657*P657)</f>
        <v>0</v>
      </c>
      <c r="AM657" s="1490">
        <f t="shared" ref="AM657:AM658" si="1370">IF(OR(Q657=11,A657="F"),0,G657*Q657)</f>
        <v>0</v>
      </c>
      <c r="AN657" s="1490">
        <f t="shared" ref="AN657:AN658" si="1371">IF(OR(S657=11,A657="F"),0,S657*G657)</f>
        <v>0</v>
      </c>
      <c r="AO657" s="1490">
        <f t="shared" ref="AO657:AO658" si="1372">IF(OR(T657=11,A657="F"),0,T657*G657)</f>
        <v>0</v>
      </c>
    </row>
    <row r="658" spans="1:41" ht="16" x14ac:dyDescent="0.2">
      <c r="B658" s="1700"/>
      <c r="C658" s="38"/>
      <c r="D658" s="25"/>
      <c r="E658" s="48"/>
      <c r="F658" s="27"/>
      <c r="G658" s="27"/>
      <c r="H658" s="27">
        <f>F658*G658</f>
        <v>0</v>
      </c>
      <c r="I658" s="1374">
        <v>11</v>
      </c>
      <c r="J658" s="1375">
        <v>11</v>
      </c>
      <c r="K658" s="31" t="b">
        <f>IF(AND(F658&gt;=I658,F658&lt;=J658),TRUE,FALSE)</f>
        <v>0</v>
      </c>
      <c r="L658" s="31"/>
      <c r="M658" s="31"/>
      <c r="N658" s="31"/>
      <c r="O658" s="1351"/>
      <c r="P658" s="1374">
        <v>11</v>
      </c>
      <c r="Q658" s="1375">
        <v>11</v>
      </c>
      <c r="R658" s="1351" t="b">
        <f>IF(AND(F658&gt;=P658,F658&lt;=Q658),TRUE,FALSE)</f>
        <v>0</v>
      </c>
      <c r="S658" s="1374">
        <v>11</v>
      </c>
      <c r="T658" s="1375">
        <v>11</v>
      </c>
      <c r="U658" s="1351" t="b">
        <f>IF(AND(F658&gt;=S658,F658&lt;=T658),TRUE,FALSE)</f>
        <v>0</v>
      </c>
      <c r="V658" s="807"/>
      <c r="W658" s="821"/>
      <c r="X658" s="822"/>
      <c r="Y658" s="821"/>
      <c r="Z658" s="822"/>
      <c r="AA658" s="821"/>
      <c r="AB658" s="822"/>
      <c r="AD658" s="10"/>
      <c r="AE658" s="10"/>
      <c r="AF658" s="10"/>
      <c r="AG658" s="832">
        <f>IF(K658=TRUE,H658,0)</f>
        <v>0</v>
      </c>
      <c r="AH658" s="832">
        <f>IF(R658=TRUE,H658,0)</f>
        <v>0</v>
      </c>
      <c r="AI658" s="832">
        <f>IF(U658=TRUE,H658,0)</f>
        <v>0</v>
      </c>
      <c r="AJ658" s="1490">
        <f t="shared" si="1367"/>
        <v>0</v>
      </c>
      <c r="AK658" s="1490">
        <f t="shared" si="1368"/>
        <v>0</v>
      </c>
      <c r="AL658" s="1490">
        <f t="shared" si="1369"/>
        <v>0</v>
      </c>
      <c r="AM658" s="1490">
        <f t="shared" si="1370"/>
        <v>0</v>
      </c>
      <c r="AN658" s="1490">
        <f t="shared" si="1371"/>
        <v>0</v>
      </c>
      <c r="AO658" s="1490">
        <f t="shared" si="1372"/>
        <v>0</v>
      </c>
    </row>
    <row r="659" spans="1:41" ht="17" thickBot="1" x14ac:dyDescent="0.25">
      <c r="B659" s="1700"/>
      <c r="C659" s="716" t="s">
        <v>610</v>
      </c>
      <c r="D659" s="717">
        <f>_xlfn.XLOOKUP(H659,H657:H658,D657:D658)</f>
        <v>0</v>
      </c>
      <c r="E659" s="718"/>
      <c r="F659" s="719"/>
      <c r="G659" s="719"/>
      <c r="H659" s="713">
        <f>IF(AND(K657=TRUE,K658=FALSE),H657,IF(AND(K657=FALSE,K658=TRUE),H658,MAX(H657,H658)))</f>
        <v>0</v>
      </c>
      <c r="I659" s="1353"/>
      <c r="J659" s="720"/>
      <c r="K659" s="721" t="b">
        <f>IF(AND(K657=FALSE,K658=FALSE),FALSE,TRUE)</f>
        <v>0</v>
      </c>
      <c r="L659" s="31"/>
      <c r="M659" s="31"/>
      <c r="N659" s="31"/>
      <c r="O659" s="1351"/>
      <c r="P659" s="1353"/>
      <c r="Q659" s="720"/>
      <c r="R659" s="1366" t="b">
        <f>IF(AND(R657=FALSE,R658=FALSE),FALSE,TRUE)</f>
        <v>0</v>
      </c>
      <c r="S659" s="1353"/>
      <c r="T659" s="720"/>
      <c r="U659" s="1366" t="b">
        <f>IF(AND(U657=FALSE,U658=FALSE),FALSE,TRUE)</f>
        <v>0</v>
      </c>
      <c r="V659" s="807"/>
      <c r="W659" s="821"/>
      <c r="X659" s="822"/>
      <c r="Y659" s="821"/>
      <c r="Z659" s="822"/>
      <c r="AA659" s="821"/>
      <c r="AB659" s="822"/>
      <c r="AD659" s="10"/>
      <c r="AE659" s="10"/>
      <c r="AF659" s="10"/>
      <c r="AG659" s="1740">
        <f>IF($K659=TRUE,MAX(AG657:AG658),0)</f>
        <v>0</v>
      </c>
      <c r="AH659" s="1740">
        <f>IF($R659=TRUE,MAX(AH657:AH658),0)</f>
        <v>0</v>
      </c>
      <c r="AI659" s="1740">
        <f>IF($U659=TRUE,MAX(AI657:AI658),0)</f>
        <v>0</v>
      </c>
      <c r="AJ659" s="1739">
        <f>MAX(AJ657:AJ658)</f>
        <v>0</v>
      </c>
      <c r="AK659" s="1739">
        <f t="shared" ref="AK659" si="1373">MAX(AK657:AK658)</f>
        <v>0</v>
      </c>
      <c r="AL659" s="1739">
        <f t="shared" ref="AL659" si="1374">MAX(AL657:AL658)</f>
        <v>0</v>
      </c>
      <c r="AM659" s="1739">
        <f t="shared" ref="AM659" si="1375">MAX(AM657:AM658)</f>
        <v>0</v>
      </c>
      <c r="AN659" s="1739">
        <f t="shared" ref="AN659" si="1376">MAX(AN657:AN658)</f>
        <v>0</v>
      </c>
      <c r="AO659" s="1739">
        <f t="shared" ref="AO659" si="1377">MAX(AO657:AO658)</f>
        <v>0</v>
      </c>
    </row>
    <row r="660" spans="1:41" ht="35" thickBot="1" x14ac:dyDescent="0.25">
      <c r="B660" s="1700"/>
      <c r="C660" s="722" t="s">
        <v>616</v>
      </c>
      <c r="D660" s="723"/>
      <c r="E660" s="723"/>
      <c r="F660" s="724"/>
      <c r="G660" s="724"/>
      <c r="H660" s="724">
        <f>IF(AND(K656=TRUE,K659=FALSE),H656,IF(AND(K656=FALSE,K659=TRUE),H659,IF(AND(K656=TRUE,K659=TRUE),H656+H659,MAX(H656,H659))))</f>
        <v>0</v>
      </c>
      <c r="I660" s="1354"/>
      <c r="J660" s="725"/>
      <c r="K660" s="726" t="b">
        <f>IF(AND(K656=FALSE,K659=FALSE),FALSE,TRUE)</f>
        <v>0</v>
      </c>
      <c r="L660" s="1338"/>
      <c r="M660" s="1338"/>
      <c r="N660" s="1338"/>
      <c r="O660" s="1355"/>
      <c r="P660" s="1354"/>
      <c r="Q660" s="725"/>
      <c r="R660" s="726" t="b">
        <f>IF(AND(R656=FALSE,R659=FALSE),FALSE,TRUE)</f>
        <v>0</v>
      </c>
      <c r="S660" s="1354"/>
      <c r="T660" s="725"/>
      <c r="U660" s="726" t="b">
        <f>IF(AND(U656=FALSE,U659=FALSE),FALSE,TRUE)</f>
        <v>0</v>
      </c>
      <c r="V660" s="807"/>
      <c r="W660" s="821" t="str">
        <f>IF(K660=TRUE,"V","F")</f>
        <v>F</v>
      </c>
      <c r="X660" s="822"/>
      <c r="Y660" s="821" t="str">
        <f>IF(R660=TRUE,"V","F")</f>
        <v>F</v>
      </c>
      <c r="Z660" s="822"/>
      <c r="AA660" s="821" t="str">
        <f>IF(U660=TRUE,"V","F")</f>
        <v>F</v>
      </c>
      <c r="AB660" s="822"/>
      <c r="AD660" s="10"/>
      <c r="AE660" s="10"/>
      <c r="AF660" s="10"/>
      <c r="AG660" s="591">
        <f>IF(AND($K656=TRUE,$K659=FALSE),AG656,IF(AND($K656=FALSE,$K659=TRUE),AG659,IF(AND($K656=TRUE,$K659=TRUE),AG656+AG659,0)))</f>
        <v>0</v>
      </c>
      <c r="AH660" s="591">
        <f>IF(AND($R656=TRUE,$R659=FALSE),AH656,IF(AND($R656=FALSE,$R659=TRUE),AH659,IF(AND($R656=TRUE,$R659=TRUE),AH656+AH659,0)))</f>
        <v>0</v>
      </c>
      <c r="AI660" s="591">
        <f>IF(AND($U656=TRUE,$U659=FALSE),AI656,IF(AND($U656=FALSE,$U659=TRUE),AI659,IF(AND($U656=TRUE,$U659=TRUE),AI656+AI659,0)))</f>
        <v>0</v>
      </c>
      <c r="AJ660" s="591">
        <f>IF(AND($K656=TRUE,$K659=FALSE),AJ656,IF(AND($K656=FALSE,$K659=TRUE),AJ659,IF(AND($K656=TRUE,$K659=TRUE),AJ656+AJ659,MAX(AJ656,AJ659))))</f>
        <v>14</v>
      </c>
      <c r="AK660" s="591">
        <f>IF(AND($K656=TRUE,$K659=FALSE),AK656,IF(AND($K656=FALSE,$K659=TRUE),AK659,IF(AND($K656=TRUE,$K659=TRUE),AK656+AK659,MAX(AK656,AK659))))</f>
        <v>20</v>
      </c>
      <c r="AL660" s="591">
        <f t="shared" ref="AL660" si="1378">IF(AND($R656=TRUE,$R659=FALSE),AL656,IF(AND($R656=FALSE,$R659=TRUE),AL659,IF(AND($R656=TRUE,$R659=TRUE),AL656+AL659,MAX(AL656,AL659))))</f>
        <v>0</v>
      </c>
      <c r="AM660" s="591">
        <f t="shared" ref="AM660" si="1379">IF(AND($R656=TRUE,$R659=FALSE),AM656,IF(AND($R656=FALSE,$R659=TRUE),AM659,IF(AND($R656=TRUE,$R659=TRUE),AM656+AM659,MAX(AM656,AM659))))</f>
        <v>0</v>
      </c>
      <c r="AN660" s="591">
        <f t="shared" ref="AN660" si="1380">IF(AND($U656=TRUE,$U659=FALSE),AN656,IF(AND($U656=FALSE,$U659=TRUE),AN659,IF(AND($U656=TRUE,$U659=TRUE),AN656+AN659,MAX(AN656,AN659))))</f>
        <v>8</v>
      </c>
      <c r="AO660" s="591">
        <f t="shared" ref="AO660" si="1381">IF(AND($U656=TRUE,$U659=FALSE),AO656,IF(AND($U656=FALSE,$U659=TRUE),AO659,IF(AND($U656=TRUE,$U659=TRUE),AO656+AO659,MAX(AO656,AO659))))</f>
        <v>20</v>
      </c>
    </row>
    <row r="661" spans="1:41" ht="21" x14ac:dyDescent="0.2">
      <c r="B661" s="1700"/>
      <c r="C661" s="287"/>
      <c r="D661" s="25"/>
      <c r="E661" s="48"/>
      <c r="F661" s="709"/>
      <c r="G661" s="708"/>
      <c r="H661" s="709">
        <f>F661*G661</f>
        <v>0</v>
      </c>
      <c r="I661" s="1374"/>
      <c r="J661" s="1375"/>
      <c r="K661" s="31"/>
      <c r="L661" s="31"/>
      <c r="M661" s="31"/>
      <c r="N661" s="31"/>
      <c r="O661" s="1351"/>
      <c r="P661" s="1374"/>
      <c r="Q661" s="1375"/>
      <c r="R661" s="1351"/>
      <c r="S661" s="1350"/>
      <c r="T661" s="1343"/>
      <c r="U661" s="1351"/>
      <c r="V661" s="807"/>
      <c r="W661" s="821" t="s">
        <v>753</v>
      </c>
      <c r="X661" s="822"/>
      <c r="Y661" s="821"/>
      <c r="Z661" s="822"/>
      <c r="AA661" s="821"/>
      <c r="AB661" s="822"/>
      <c r="AD661" s="10"/>
      <c r="AE661" s="10"/>
      <c r="AF661" s="10"/>
      <c r="AG661" s="832">
        <f>IF($K661=TRUE,H661,0)</f>
        <v>0</v>
      </c>
      <c r="AH661" s="832">
        <f>IF($R661=TRUE,H661,0)</f>
        <v>0</v>
      </c>
      <c r="AI661" s="832"/>
      <c r="AJ661" s="1490">
        <f t="shared" ref="AJ661:AJ662" si="1382">IF(OR(I661=11,A661="F"),0,G661*I661)</f>
        <v>0</v>
      </c>
      <c r="AK661" s="1490">
        <f t="shared" ref="AK661:AK662" si="1383">IF(OR(J661=11,A661="F"),0,G661*J661)</f>
        <v>0</v>
      </c>
      <c r="AL661" s="1490">
        <f t="shared" ref="AL661:AL662" si="1384">IF(OR(P661=11,A661="F"),0,G661*P661)</f>
        <v>0</v>
      </c>
      <c r="AM661" s="1490">
        <f t="shared" ref="AM661:AM662" si="1385">IF(OR(Q661=11,A661="F"),0,G661*Q661)</f>
        <v>0</v>
      </c>
      <c r="AN661" s="1490">
        <f t="shared" ref="AN661:AN662" si="1386">IF(OR(S661=11,A661="F"),0,S661*G661)</f>
        <v>0</v>
      </c>
      <c r="AO661" s="1490">
        <f t="shared" ref="AO661:AO662" si="1387">IF(OR(T661=11,A661="F"),0,T661*G661)</f>
        <v>0</v>
      </c>
    </row>
    <row r="662" spans="1:41" ht="17" thickBot="1" x14ac:dyDescent="0.25">
      <c r="B662" s="1700"/>
      <c r="C662" s="287"/>
      <c r="D662" s="698"/>
      <c r="E662" s="48"/>
      <c r="F662" s="709"/>
      <c r="G662" s="708"/>
      <c r="H662" s="709">
        <f>F662*G662</f>
        <v>0</v>
      </c>
      <c r="I662" s="1374"/>
      <c r="J662" s="1375"/>
      <c r="K662" s="31"/>
      <c r="L662" s="31"/>
      <c r="M662" s="31"/>
      <c r="N662" s="31"/>
      <c r="O662" s="1351"/>
      <c r="P662" s="1374"/>
      <c r="Q662" s="1375"/>
      <c r="R662" s="1351"/>
      <c r="S662" s="1374"/>
      <c r="T662" s="1375"/>
      <c r="U662" s="1351"/>
      <c r="V662" s="807"/>
      <c r="W662" s="821"/>
      <c r="X662" s="822"/>
      <c r="Y662" s="821"/>
      <c r="Z662" s="822"/>
      <c r="AA662" s="821"/>
      <c r="AB662" s="822"/>
      <c r="AD662" s="10"/>
      <c r="AE662" s="10"/>
      <c r="AF662" s="10"/>
      <c r="AG662" s="832">
        <f>IF($K662=TRUE,H662,0)</f>
        <v>0</v>
      </c>
      <c r="AH662" s="832">
        <f>IF($R662=TRUE,H662,0)</f>
        <v>0</v>
      </c>
      <c r="AI662" s="832"/>
      <c r="AJ662" s="1490">
        <f t="shared" si="1382"/>
        <v>0</v>
      </c>
      <c r="AK662" s="1490">
        <f t="shared" si="1383"/>
        <v>0</v>
      </c>
      <c r="AL662" s="1490">
        <f t="shared" si="1384"/>
        <v>0</v>
      </c>
      <c r="AM662" s="1490">
        <f t="shared" si="1385"/>
        <v>0</v>
      </c>
      <c r="AN662" s="1490">
        <f t="shared" si="1386"/>
        <v>0</v>
      </c>
      <c r="AO662" s="1490">
        <f t="shared" si="1387"/>
        <v>0</v>
      </c>
    </row>
    <row r="663" spans="1:41" ht="17" thickBot="1" x14ac:dyDescent="0.25">
      <c r="B663" s="1700"/>
      <c r="C663" s="727" t="s">
        <v>611</v>
      </c>
      <c r="D663" s="728">
        <f>_xlfn.XLOOKUP(H663,H661:H662,D661:D662)</f>
        <v>0</v>
      </c>
      <c r="E663" s="728"/>
      <c r="F663" s="729"/>
      <c r="G663" s="729"/>
      <c r="H663" s="729">
        <f>IF(AND(K661=TRUE,K662=FALSE),H661,IF(AND(K661=FALSE,K662=TRUE),H662,MAX(H661,H662)))</f>
        <v>0</v>
      </c>
      <c r="I663" s="1356"/>
      <c r="J663" s="730"/>
      <c r="K663" s="731" t="b">
        <f>IF(AND(K661=FALSE,K662=FALSE),FALSE,TRUE)</f>
        <v>0</v>
      </c>
      <c r="L663" s="1339"/>
      <c r="M663" s="1339"/>
      <c r="N663" s="1339"/>
      <c r="O663" s="1357"/>
      <c r="P663" s="1356"/>
      <c r="Q663" s="730"/>
      <c r="R663" s="731" t="b">
        <f>IF(AND(R661=FALSE,R662=FALSE),FALSE,TRUE)</f>
        <v>0</v>
      </c>
      <c r="S663" s="1356"/>
      <c r="T663" s="730"/>
      <c r="U663" s="731"/>
      <c r="V663" s="807"/>
      <c r="W663" s="821" t="str">
        <f>IF(K663=TRUE,"V","F")</f>
        <v>F</v>
      </c>
      <c r="X663" s="822"/>
      <c r="Y663" s="821" t="str">
        <f>IF(R663=TRUE,"V","F")</f>
        <v>F</v>
      </c>
      <c r="Z663" s="822"/>
      <c r="AA663" s="821"/>
      <c r="AB663" s="822"/>
      <c r="AD663" s="10"/>
      <c r="AE663" s="10"/>
      <c r="AF663" s="10"/>
      <c r="AG663" s="1742">
        <f>IF(AND($K661=TRUE,$K662=FALSE),AG661,IF(AND($K661=FALSE,$K662=TRUE),AG662,IF(AND($K661=TRUE,$K662=TRUE),MAX(AG661,AG662),0)))</f>
        <v>0</v>
      </c>
      <c r="AH663" s="1742">
        <f>IF(AND($R661=TRUE,$R662=FALSE),AH661,IF(AND($R661=FALSE,$R662=TRUE),AH662,IF(AND($R661=TRUE,$R662=TRUE),MAX(AH661,AH662),0)))</f>
        <v>0</v>
      </c>
      <c r="AI663" s="1742"/>
      <c r="AJ663" s="1742">
        <f>IF(AND($K661=TRUE,$K662=FALSE),AJ661,IF(AND($K661=FALSE,$K662=TRUE),AJ662,IF(AND($K661=TRUE,$K662=TRUE),MAX(AJ661,AJ662),0)))</f>
        <v>0</v>
      </c>
      <c r="AK663" s="1742">
        <f>IF(AND($K661=TRUE,$K662=FALSE),AK661,IF(AND($K661=FALSE,$K662=TRUE),AK662,IF(AND($K661=TRUE,$K662=TRUE),MAX(AK661,AK662),0)))</f>
        <v>0</v>
      </c>
      <c r="AL663" s="1742">
        <f t="shared" ref="AL663" si="1388">IF(AND($R661=TRUE,$R662=FALSE),AL661,IF(AND($R661=FALSE,$R662=TRUE),AL662,IF(AND($R661=TRUE,$R662=TRUE),MAX(AL661,AL662),0)))</f>
        <v>0</v>
      </c>
      <c r="AM663" s="1742">
        <f t="shared" ref="AM663" si="1389">IF(AND($R661=TRUE,$R662=FALSE),AM661,IF(AND($R661=FALSE,$R662=TRUE),AM662,IF(AND($R661=TRUE,$R662=TRUE),MAX(AM661,AM662),0)))</f>
        <v>0</v>
      </c>
      <c r="AN663" s="1742"/>
      <c r="AO663" s="1742"/>
    </row>
    <row r="664" spans="1:41" ht="34" x14ac:dyDescent="0.2">
      <c r="B664" s="1700"/>
      <c r="D664" s="386" t="s">
        <v>273</v>
      </c>
      <c r="E664" s="705"/>
      <c r="F664" s="439" t="s">
        <v>349</v>
      </c>
      <c r="G664" s="33"/>
      <c r="H664" s="33">
        <f>IF(AND(K660=TRUE,K663=FALSE),H660,IF(AND(K660=FALSE,K663=TRUE),H663,IF(AND(K660=TRUE,K663=TRUE),H660+H663,MAX(H660,H663))))</f>
        <v>0</v>
      </c>
      <c r="I664" s="1358"/>
      <c r="J664" s="440"/>
      <c r="K664" s="1341"/>
      <c r="L664" s="1342" t="str">
        <f>IF(AND(K663=TRUE,K660=TRUE),E663,"")</f>
        <v/>
      </c>
      <c r="M664" s="1342"/>
      <c r="N664" s="1342" t="str">
        <f>IF(AND(K660=FALSE,K663=TRUE),E663&amp;" sans signe de la participation du parent favorisé et|ou nouveau conjoint.e","")</f>
        <v/>
      </c>
      <c r="O664" s="1359" t="str">
        <f>IF(AND(K660=FALSE,K663=FALSE),"aucun comportement significatif de cette nature","")</f>
        <v>aucun comportement significatif de cette nature</v>
      </c>
      <c r="P664" s="1358"/>
      <c r="Q664" s="440"/>
      <c r="R664" s="1367"/>
      <c r="S664" s="1358"/>
      <c r="T664" s="440"/>
      <c r="U664" s="1367"/>
      <c r="V664" s="145"/>
      <c r="W664" s="823"/>
      <c r="X664" s="824">
        <f>IF(AND(W660="V",W663="V"),2,IF(OR(W660="V",W663="V"),1,0))</f>
        <v>0</v>
      </c>
      <c r="Y664" s="823"/>
      <c r="Z664" s="824">
        <f>IF(OR(Y660="V",Y663="V"),1,0)</f>
        <v>0</v>
      </c>
      <c r="AA664" s="823"/>
      <c r="AB664" s="824"/>
      <c r="AD664" s="10"/>
      <c r="AE664" s="10"/>
      <c r="AF664" s="10"/>
      <c r="AG664" s="1738">
        <f>IF(AND($W660="V",$W663="F"),AG660,IF(AND($W660="F",$W663="V"),AG663,IF(AND($W660="V",$W663="V"),AG660+AG663,0)))</f>
        <v>0</v>
      </c>
      <c r="AH664" s="1738">
        <f>IF(AND($Y660="V",$Y663="F"),AH660,IF(AND($Y660="F",$Y663="V"),AH663,IF(AND($Y660="V",$Y663="V"),AH660+AH663,0)))</f>
        <v>0</v>
      </c>
      <c r="AI664" s="1738"/>
      <c r="AJ664" s="1738">
        <f>IF(AND($W660="V",$W663="F"),AJ660,IF(AND($W660="F",$W663="V"),AJ663,IF(AND($W660="V",$W663="V"),AJ660+AJ663,0)))</f>
        <v>0</v>
      </c>
      <c r="AK664" s="1738">
        <f>IF(AND($W660="V",$W663="F"),AK660,IF(AND($W660="F",$W663="V"),AK663,IF(AND($W660="V",$W663="V"),AK660+AK663,0)))</f>
        <v>0</v>
      </c>
      <c r="AL664" s="1738">
        <f>IF(AND($Y660="V",$Y663="F"),AL660,IF(AND($Y660="F",$Y663="V"),AL663,IF(AND($Y660="V",$Y663="V"),AL660+AL663,0)))</f>
        <v>0</v>
      </c>
      <c r="AM664" s="1738">
        <f>IF(AND($Y660="V",$Y663="F"),AM660,IF(AND($Y660="F",$Y663="V"),AM663,IF(AND($Y660="V",$Y663="V"),AM660+AM663,0)))</f>
        <v>0</v>
      </c>
      <c r="AN664" s="1738"/>
      <c r="AO664" s="1738"/>
    </row>
    <row r="665" spans="1:41" ht="16" x14ac:dyDescent="0.2">
      <c r="B665" s="1700"/>
      <c r="C665" t="s">
        <v>238</v>
      </c>
      <c r="I665" s="122"/>
      <c r="L665" s="32"/>
      <c r="M665" s="32"/>
      <c r="N665" s="32"/>
      <c r="O665" s="1379"/>
      <c r="P665" s="122"/>
      <c r="R665" s="292"/>
      <c r="S665" s="122"/>
      <c r="U665" s="292"/>
      <c r="V665" s="32"/>
      <c r="W665" s="821"/>
      <c r="X665" s="822"/>
      <c r="Y665" s="821"/>
      <c r="Z665" s="822"/>
      <c r="AA665" s="821"/>
      <c r="AB665" s="822"/>
      <c r="AD665" s="10"/>
      <c r="AE665" s="10"/>
      <c r="AF665" s="10"/>
      <c r="AG665" s="832"/>
      <c r="AH665" s="832"/>
      <c r="AI665" s="832"/>
      <c r="AJ665" s="1490"/>
      <c r="AK665" s="1490"/>
      <c r="AL665" s="1490"/>
      <c r="AM665" s="1490"/>
      <c r="AN665" s="1490"/>
      <c r="AO665" s="1490"/>
    </row>
    <row r="666" spans="1:41" ht="21" x14ac:dyDescent="0.2">
      <c r="A666" t="str">
        <f>IF(Test_Bible!B57="","F","O")</f>
        <v>O</v>
      </c>
      <c r="B666" s="1700"/>
      <c r="C666" s="825" t="str">
        <f>'Cpts AR +indép + Sommaire'!U95</f>
        <v>B11b</v>
      </c>
      <c r="D666" s="21" t="str">
        <f>'Cpts AR +indép + Sommaire'!V95</f>
        <v>De votre côté-vous, respectez-vous les ordonnances et l'entente de garde ?</v>
      </c>
      <c r="E666" s="826"/>
      <c r="F666" s="830">
        <f>'Cpts AR +indép + Sommaire'!W95</f>
        <v>0</v>
      </c>
      <c r="G666" s="830">
        <f>'Cpts AR +indép + Sommaire'!X95</f>
        <v>2</v>
      </c>
      <c r="H666" s="830">
        <f>F666*G666</f>
        <v>0</v>
      </c>
      <c r="I666" s="1350">
        <v>7</v>
      </c>
      <c r="J666" s="1343">
        <v>10</v>
      </c>
      <c r="K666" s="31" t="b">
        <f>IF(AND(F666&gt;=I666,F666&lt;=J666),TRUE,FALSE)</f>
        <v>0</v>
      </c>
      <c r="L666" s="26"/>
      <c r="M666" s="26"/>
      <c r="N666" s="26"/>
      <c r="O666" s="1360"/>
      <c r="P666" s="1374">
        <v>11</v>
      </c>
      <c r="Q666" s="1375">
        <v>11</v>
      </c>
      <c r="R666" s="1351" t="b">
        <f>IF(AND(F666&gt;=P666,F666&lt;=Q666),TRUE,FALSE)</f>
        <v>0</v>
      </c>
      <c r="S666" s="1350">
        <v>4</v>
      </c>
      <c r="T666" s="1343">
        <v>10</v>
      </c>
      <c r="U666" s="1351" t="b">
        <f>IF(AND(F666&gt;=S666,F666&lt;=T666),TRUE,FALSE)</f>
        <v>0</v>
      </c>
      <c r="V666" s="32"/>
      <c r="W666" s="821"/>
      <c r="X666" s="822"/>
      <c r="Y666" s="821"/>
      <c r="Z666" s="822"/>
      <c r="AA666" s="821"/>
      <c r="AB666" s="822"/>
      <c r="AD666" s="10"/>
      <c r="AE666" s="10"/>
      <c r="AF666" s="10"/>
      <c r="AG666" s="832">
        <f>IF($K666=TRUE,H666,0)</f>
        <v>0</v>
      </c>
      <c r="AH666" s="832">
        <f>IF($R666=TRUE,H666,0)</f>
        <v>0</v>
      </c>
      <c r="AI666" s="832">
        <f>IF($U666=TRUE,H666,0)</f>
        <v>0</v>
      </c>
      <c r="AJ666" s="1490">
        <f t="shared" ref="AJ666:AJ667" si="1390">IF(OR(I666=11,A666="F"),0,G666*I666)</f>
        <v>14</v>
      </c>
      <c r="AK666" s="1490">
        <f t="shared" ref="AK666:AK667" si="1391">IF(OR(J666=11,A666="F"),0,G666*J666)</f>
        <v>20</v>
      </c>
      <c r="AL666" s="1490">
        <f t="shared" ref="AL666:AL667" si="1392">IF(OR(P666=11,A666="F"),0,G666*P666)</f>
        <v>0</v>
      </c>
      <c r="AM666" s="1490">
        <f t="shared" ref="AM666:AM667" si="1393">IF(OR(Q666=11,A666="F"),0,G666*Q666)</f>
        <v>0</v>
      </c>
      <c r="AN666" s="1490">
        <f t="shared" ref="AN666:AN667" si="1394">IF(OR(S666=11,A666="F"),0,S666*G666)</f>
        <v>8</v>
      </c>
      <c r="AO666" s="1490">
        <f t="shared" ref="AO666:AO667" si="1395">IF(OR(T666=11,A666="F"),0,T666*G666)</f>
        <v>20</v>
      </c>
    </row>
    <row r="667" spans="1:41" ht="20" thickBot="1" x14ac:dyDescent="0.25">
      <c r="B667" s="1700"/>
      <c r="C667" s="825"/>
      <c r="D667" s="829"/>
      <c r="E667" s="826"/>
      <c r="F667" s="830"/>
      <c r="G667" s="830"/>
      <c r="H667" s="830">
        <f>F667*G667</f>
        <v>0</v>
      </c>
      <c r="I667" s="1374">
        <v>11</v>
      </c>
      <c r="J667" s="1375">
        <v>11</v>
      </c>
      <c r="K667" s="31" t="b">
        <f>IF(AND(F667&gt;=I667,F667&lt;=J667),TRUE,FALSE)</f>
        <v>0</v>
      </c>
      <c r="L667" s="26"/>
      <c r="M667" s="26"/>
      <c r="N667" s="26"/>
      <c r="O667" s="1360"/>
      <c r="P667" s="1374">
        <v>11</v>
      </c>
      <c r="Q667" s="1375">
        <v>11</v>
      </c>
      <c r="R667" s="1351" t="b">
        <f>IF(AND(F667&gt;=P667,F667&lt;=Q667),TRUE,FALSE)</f>
        <v>0</v>
      </c>
      <c r="S667" s="1374">
        <v>11</v>
      </c>
      <c r="T667" s="1375">
        <v>11</v>
      </c>
      <c r="U667" s="1351" t="b">
        <f>IF(AND(F667&gt;=S667,F667&lt;=T667),TRUE,FALSE)</f>
        <v>0</v>
      </c>
      <c r="W667" s="821"/>
      <c r="X667" s="822"/>
      <c r="Y667" s="821"/>
      <c r="Z667" s="822"/>
      <c r="AA667" s="821"/>
      <c r="AB667" s="822"/>
      <c r="AD667" s="10"/>
      <c r="AE667" s="10"/>
      <c r="AF667" s="10"/>
      <c r="AG667" s="832">
        <f>IF($K667=TRUE,H667,0)</f>
        <v>0</v>
      </c>
      <c r="AH667" s="832">
        <f>IF($R667=TRUE,H667,0)</f>
        <v>0</v>
      </c>
      <c r="AI667" s="832">
        <f>IF($U667=TRUE,H667,0)</f>
        <v>0</v>
      </c>
      <c r="AJ667" s="1490">
        <f t="shared" si="1390"/>
        <v>0</v>
      </c>
      <c r="AK667" s="1490">
        <f t="shared" si="1391"/>
        <v>0</v>
      </c>
      <c r="AL667" s="1490">
        <f t="shared" si="1392"/>
        <v>0</v>
      </c>
      <c r="AM667" s="1490">
        <f t="shared" si="1393"/>
        <v>0</v>
      </c>
      <c r="AN667" s="1490">
        <f t="shared" si="1394"/>
        <v>0</v>
      </c>
      <c r="AO667" s="1490">
        <f t="shared" si="1395"/>
        <v>0</v>
      </c>
    </row>
    <row r="668" spans="1:41" ht="27" thickBot="1" x14ac:dyDescent="0.35">
      <c r="B668" s="1700"/>
      <c r="E668" s="732"/>
      <c r="F668" s="73"/>
      <c r="G668" s="73"/>
      <c r="H668" s="33">
        <f>IF(AND(K666=TRUE,K667=FALSE),H666,IF(AND(K666=FALSE,K667=TRUE),H667,MAX(H666,H667)))</f>
        <v>0</v>
      </c>
      <c r="I668" s="1371"/>
      <c r="J668" s="1372"/>
      <c r="K668" s="1378" t="b">
        <f>IF(AND(K666=FALSE,K667=FALSE),FALSE,TRUE)</f>
        <v>0</v>
      </c>
      <c r="L668" s="1361"/>
      <c r="M668" s="1362"/>
      <c r="N668" s="1362"/>
      <c r="O668" s="1363"/>
      <c r="P668" s="1371"/>
      <c r="Q668" s="1372"/>
      <c r="R668" s="1378" t="b">
        <f>IF(AND(R666=FALSE,R667=FALSE),FALSE,TRUE)</f>
        <v>0</v>
      </c>
      <c r="S668" s="1383"/>
      <c r="T668" s="1384"/>
      <c r="U668" s="1385" t="b">
        <f>IF(AND(U666=FALSE,U667=FALSE),FALSE,TRUE)</f>
        <v>0</v>
      </c>
      <c r="V668" s="73"/>
      <c r="W668" s="1315" t="str">
        <f>IF(K668=TRUE,"V","F")</f>
        <v>F</v>
      </c>
      <c r="X668" s="1316"/>
      <c r="Y668" s="1315" t="str">
        <f>IF(R668=TRUE,"V","F")</f>
        <v>F</v>
      </c>
      <c r="Z668" s="1316"/>
      <c r="AA668" s="1315" t="str">
        <f>IF(U668=TRUE,"V","F")</f>
        <v>F</v>
      </c>
      <c r="AB668" s="1316"/>
      <c r="AD668" s="10"/>
      <c r="AE668" s="10"/>
      <c r="AF668" s="10"/>
      <c r="AG668" s="1742">
        <f>IF(AND($K666=TRUE,$K667=FALSE),AG666,IF(AND($K666=FALSE,$K667=TRUE),AG667,MAX(AG666,AG667)))</f>
        <v>0</v>
      </c>
      <c r="AH668" s="1742">
        <f>IF(AND($R666=TRUE,$R667=FALSE),AH666,IF(AND($R666=FALSE,$R667=TRUE),AH667,MAX(AH666,AH667)))</f>
        <v>0</v>
      </c>
      <c r="AI668" s="1742">
        <f>IF(AND($U666=TRUE,$U667=FALSE),AI666,IF(AND($U666=FALSE,$U667=TRUE),AI667,MAX(AI666,AI667)))</f>
        <v>0</v>
      </c>
      <c r="AJ668" s="1742">
        <f>IF(AND($K666=TRUE,$K667=FALSE),AJ666,IF(AND($K666=FALSE,$K667=TRUE),AJ667,MAX(AJ666,AJ667)))</f>
        <v>14</v>
      </c>
      <c r="AK668" s="1742">
        <f>IF(AND($K666=TRUE,$K667=FALSE),AK666,IF(AND($K666=FALSE,$K667=TRUE),AK667,MAX(AK666,AK667)))</f>
        <v>20</v>
      </c>
      <c r="AL668" s="1742">
        <f>IF(AND($R666=TRUE,$R667=FALSE),AL666,IF(AND($R666=FALSE,$R667=TRUE),AL667,MAX(AL666,AL667)))</f>
        <v>0</v>
      </c>
      <c r="AM668" s="1742">
        <f>IF(AND($R666=TRUE,$R667=FALSE),AM666,IF(AND($R666=FALSE,$R667=TRUE),AM667,MAX(AM666,AM667)))</f>
        <v>0</v>
      </c>
      <c r="AN668" s="1742">
        <f>IF(AND($U666=TRUE,$U667=FALSE),AN666,IF(AND($U666=FALSE,$U667=TRUE),AN667,MAX(AN666,AN667)))</f>
        <v>8</v>
      </c>
      <c r="AO668" s="1742">
        <f>IF(AND($U666=TRUE,$U667=FALSE),AO666,IF(AND($U666=FALSE,$U667=TRUE),AO667,MAX(AO666,AO667)))</f>
        <v>20</v>
      </c>
    </row>
    <row r="669" spans="1:41" ht="21" x14ac:dyDescent="0.25">
      <c r="B669" s="1700"/>
      <c r="W669" s="1376"/>
      <c r="X669" s="1377">
        <f>IF(AND(W668="V",W660="V"),X664-1,X664)</f>
        <v>0</v>
      </c>
      <c r="Y669" s="1376"/>
      <c r="Z669" s="1377">
        <f>IF(OR(Y660="V",Y663="V",Y668="V"),1,0)</f>
        <v>0</v>
      </c>
      <c r="AA669" s="1376"/>
      <c r="AB669" s="1377">
        <f>IF(AA660="V",1,IF(AA668="V",1,0))</f>
        <v>0</v>
      </c>
      <c r="AD669" s="10">
        <f>X669</f>
        <v>0</v>
      </c>
      <c r="AE669" s="10">
        <f>Z669</f>
        <v>0</v>
      </c>
      <c r="AF669" s="10">
        <f>AB669</f>
        <v>0</v>
      </c>
      <c r="AG669" s="1741">
        <f>IF($W668="F",AG664,AG664+AG668)</f>
        <v>0</v>
      </c>
      <c r="AH669" s="1741">
        <f>IF($Y668="F",AH664,AH664+AH668)</f>
        <v>0</v>
      </c>
      <c r="AI669" s="1741">
        <f>IF(AND($AA660="V",$AA668="F"),AI660,IF(AND($AA660="F",$AA668="V"),AI668,IF(AND($AA660="V",$AA668="V"),AI660+AI668,0)))</f>
        <v>0</v>
      </c>
      <c r="AJ669" s="1741">
        <f>IF($W668="F",AJ664,AJ664+AJ668)</f>
        <v>0</v>
      </c>
      <c r="AK669" s="1741">
        <f>IF($W668="F",AK664,AK664+AK668)</f>
        <v>0</v>
      </c>
      <c r="AL669" s="1741">
        <f t="shared" ref="AL669" si="1396">IF($Y668="F",AL664,AL664+AL668)</f>
        <v>0</v>
      </c>
      <c r="AM669" s="1741">
        <f t="shared" ref="AM669" si="1397">IF($Y668="F",AM664,AM664+AM668)</f>
        <v>0</v>
      </c>
      <c r="AN669" s="1741">
        <f t="shared" ref="AN669" si="1398">IF(AND($AA660="V",$AA668="F"),AN660,IF(AND($AA660="F",$AA668="V"),AN668,IF(AND($AA660="V",$AA668="V"),AN660+AN668,0)))</f>
        <v>0</v>
      </c>
      <c r="AO669" s="1741">
        <f t="shared" ref="AO669" si="1399">IF(AND($AA660="V",$AA668="F"),AO660,IF(AND($AA660="F",$AA668="V"),AO668,IF(AND($AA660="V",$AA668="V"),AO660+AO668,0)))</f>
        <v>0</v>
      </c>
    </row>
    <row r="670" spans="1:41" ht="16" x14ac:dyDescent="0.2">
      <c r="B670" s="1700"/>
      <c r="W670" s="1387"/>
      <c r="X670" s="1388"/>
      <c r="Y670" s="1231"/>
    </row>
    <row r="671" spans="1:41" x14ac:dyDescent="0.3">
      <c r="B671" s="831"/>
      <c r="C671" s="10"/>
      <c r="D671" s="10"/>
      <c r="E671" s="10"/>
      <c r="F671" s="10"/>
      <c r="G671" s="10"/>
      <c r="H671" s="10"/>
      <c r="I671" s="10"/>
      <c r="J671" s="10"/>
      <c r="K671" s="10"/>
      <c r="L671" s="10"/>
      <c r="M671" s="10"/>
      <c r="N671" s="10"/>
      <c r="O671" s="10"/>
      <c r="P671" s="10"/>
      <c r="Q671" s="10"/>
      <c r="R671" s="10"/>
      <c r="S671" s="10"/>
      <c r="T671" s="10"/>
      <c r="U671" s="10"/>
      <c r="W671" s="10"/>
      <c r="X671" s="10"/>
      <c r="Y671" s="10"/>
      <c r="Z671" s="10"/>
      <c r="AA671" s="10"/>
      <c r="AB671" s="10"/>
      <c r="AD671" s="10"/>
      <c r="AE671" s="10"/>
      <c r="AF671" s="10"/>
    </row>
    <row r="672" spans="1:41" ht="29" x14ac:dyDescent="0.35">
      <c r="C672" s="432" t="s">
        <v>1824</v>
      </c>
      <c r="AD672" s="10"/>
      <c r="AE672" s="10"/>
      <c r="AF672" s="10"/>
    </row>
    <row r="673" spans="1:78" ht="16" x14ac:dyDescent="0.2">
      <c r="B673" s="1700"/>
      <c r="W673" s="1387"/>
      <c r="X673" s="1388"/>
      <c r="Y673" s="1231"/>
    </row>
    <row r="674" spans="1:78" x14ac:dyDescent="0.3">
      <c r="E674" s="85" t="s">
        <v>268</v>
      </c>
      <c r="F674" s="2593" t="s">
        <v>254</v>
      </c>
      <c r="G674" s="2593"/>
      <c r="H674" s="2593"/>
      <c r="I674" s="2593"/>
      <c r="J674" s="2593"/>
      <c r="K674" s="703"/>
      <c r="L674" s="2594"/>
      <c r="M674" s="2594"/>
      <c r="N674" s="2594"/>
      <c r="O674" s="703"/>
      <c r="P674" s="703"/>
      <c r="Q674" s="703"/>
      <c r="R674" s="703"/>
      <c r="S674" s="703"/>
      <c r="T674" s="703"/>
      <c r="U674" s="703"/>
      <c r="V674" s="73"/>
      <c r="AD674" s="10"/>
      <c r="AE674" s="10"/>
      <c r="AF674" s="10"/>
    </row>
    <row r="675" spans="1:78" x14ac:dyDescent="0.3">
      <c r="B675" s="1699"/>
      <c r="D675" s="441" t="str">
        <f>'Cpts AR +indép + Sommaire'!B98</f>
        <v>En compétition avec l'autre</v>
      </c>
      <c r="E675" s="84"/>
      <c r="F675" s="50"/>
      <c r="G675" s="18"/>
      <c r="H675" s="18"/>
      <c r="I675" s="2595" t="s">
        <v>604</v>
      </c>
      <c r="J675" s="2596"/>
      <c r="K675" s="2596"/>
      <c r="L675" s="2597" t="s">
        <v>1086</v>
      </c>
      <c r="M675" s="2597"/>
      <c r="N675" s="2597"/>
      <c r="O675" s="2598"/>
      <c r="P675" s="2599" t="s">
        <v>603</v>
      </c>
      <c r="Q675" s="2600"/>
      <c r="R675" s="2601"/>
      <c r="S675" s="2590" t="s">
        <v>605</v>
      </c>
      <c r="T675" s="2591"/>
      <c r="U675" s="2592"/>
      <c r="V675" s="15"/>
      <c r="W675" s="817"/>
      <c r="X675" s="817"/>
      <c r="Y675" s="817"/>
      <c r="Z675" s="817"/>
      <c r="AA675" s="817"/>
      <c r="AB675" s="818"/>
      <c r="AD675" s="10"/>
      <c r="AE675" s="10"/>
      <c r="AF675" s="10"/>
      <c r="AG675" s="1386" t="s">
        <v>604</v>
      </c>
      <c r="AH675" s="1386" t="s">
        <v>603</v>
      </c>
      <c r="AI675" s="1386" t="s">
        <v>605</v>
      </c>
      <c r="AJ675" s="2589" t="s">
        <v>604</v>
      </c>
      <c r="AK675" s="2589"/>
      <c r="AL675" s="2589" t="s">
        <v>603</v>
      </c>
      <c r="AM675" s="2589"/>
      <c r="AN675" s="2589" t="s">
        <v>605</v>
      </c>
      <c r="AO675" s="2589"/>
      <c r="AY675" s="734"/>
      <c r="AZ675" s="734"/>
      <c r="BA675" s="87"/>
      <c r="BB675" s="442"/>
      <c r="BC675" s="89"/>
      <c r="BD675" s="446"/>
      <c r="BE675" s="446"/>
      <c r="BF675" s="89"/>
      <c r="BG675" s="447"/>
      <c r="BH675" s="447"/>
      <c r="BI675" s="443"/>
    </row>
    <row r="676" spans="1:78" ht="34" x14ac:dyDescent="0.2">
      <c r="B676" s="1700"/>
      <c r="D676" s="79" t="s">
        <v>779</v>
      </c>
      <c r="E676" s="835"/>
      <c r="F676" s="26" t="s">
        <v>226</v>
      </c>
      <c r="G676" s="26" t="s">
        <v>22</v>
      </c>
      <c r="H676" s="26" t="s">
        <v>612</v>
      </c>
      <c r="I676" s="1348" t="s">
        <v>269</v>
      </c>
      <c r="J676" s="29" t="s">
        <v>270</v>
      </c>
      <c r="K676" s="29" t="s">
        <v>271</v>
      </c>
      <c r="L676" s="29" t="s">
        <v>363</v>
      </c>
      <c r="M676" s="29" t="s">
        <v>339</v>
      </c>
      <c r="N676" s="29" t="s">
        <v>340</v>
      </c>
      <c r="O676" s="1349" t="s">
        <v>341</v>
      </c>
      <c r="P676" s="1348" t="s">
        <v>269</v>
      </c>
      <c r="Q676" s="29" t="s">
        <v>270</v>
      </c>
      <c r="R676" s="1349" t="s">
        <v>271</v>
      </c>
      <c r="S676" s="1348" t="s">
        <v>269</v>
      </c>
      <c r="T676" s="29" t="s">
        <v>270</v>
      </c>
      <c r="U676" s="1349" t="s">
        <v>271</v>
      </c>
      <c r="V676" s="736"/>
      <c r="W676" s="827" t="s">
        <v>604</v>
      </c>
      <c r="X676" s="828" t="s">
        <v>754</v>
      </c>
      <c r="Y676" s="827" t="s">
        <v>603</v>
      </c>
      <c r="Z676" s="828" t="s">
        <v>755</v>
      </c>
      <c r="AA676" s="827" t="s">
        <v>605</v>
      </c>
      <c r="AB676" s="828" t="s">
        <v>756</v>
      </c>
      <c r="AD676" s="10"/>
      <c r="AE676" s="10"/>
      <c r="AF676" s="10"/>
      <c r="AG676" s="10"/>
      <c r="AH676" s="10"/>
      <c r="AI676" s="10"/>
      <c r="AJ676" s="1490" t="s">
        <v>1058</v>
      </c>
      <c r="AK676" s="1490" t="s">
        <v>1059</v>
      </c>
      <c r="AL676" s="1490" t="s">
        <v>1058</v>
      </c>
      <c r="AM676" s="1490" t="s">
        <v>1059</v>
      </c>
      <c r="AN676" s="1490" t="s">
        <v>1058</v>
      </c>
      <c r="AO676" s="1490" t="s">
        <v>1059</v>
      </c>
      <c r="AY676" s="734"/>
      <c r="AZ676" s="734"/>
      <c r="BA676" s="87"/>
      <c r="BB676" s="442"/>
      <c r="BC676" s="89"/>
      <c r="BD676" s="446"/>
      <c r="BE676" s="446"/>
      <c r="BF676" s="89"/>
      <c r="BG676" s="447"/>
      <c r="BH676" s="447"/>
      <c r="BI676" s="443"/>
    </row>
    <row r="677" spans="1:78" ht="34" x14ac:dyDescent="0.2">
      <c r="A677" t="str">
        <f>IF(Test_Bible!B206="","F","O")</f>
        <v>O</v>
      </c>
      <c r="B677" s="2148" t="s">
        <v>1823</v>
      </c>
      <c r="C677" s="379" t="str">
        <f>'Cpts AR +indép + Sommaire'!C98</f>
        <v>PFA40</v>
      </c>
      <c r="D677" s="25" t="str">
        <f>'Cpts AR +indép + Sommaire'!D98</f>
        <v>L'autre parent sent qu’il est en compétition avec vous pour l’amour de votre enfant.</v>
      </c>
      <c r="E677" s="78"/>
      <c r="F677" s="709">
        <f>'Cpts AR +indép + Sommaire'!E98</f>
        <v>7</v>
      </c>
      <c r="G677" s="709">
        <f>'Cpts AR +indép + Sommaire'!F98</f>
        <v>2</v>
      </c>
      <c r="H677" s="709">
        <f>F677*G677</f>
        <v>14</v>
      </c>
      <c r="I677" s="1350">
        <v>4</v>
      </c>
      <c r="J677" s="1343">
        <v>10</v>
      </c>
      <c r="K677" s="31" t="b">
        <f>IF(AND(F677&gt;=I677,F677&lt;=J677),TRUE,FALSE)</f>
        <v>1</v>
      </c>
      <c r="L677" s="31"/>
      <c r="M677" s="31"/>
      <c r="N677" s="31"/>
      <c r="O677" s="1351"/>
      <c r="P677" s="1374">
        <v>11</v>
      </c>
      <c r="Q677" s="1375">
        <v>11</v>
      </c>
      <c r="R677" s="1351" t="b">
        <f>IF(AND(F677&gt;=P677,F677&lt;=Q677),TRUE,FALSE)</f>
        <v>0</v>
      </c>
      <c r="S677" s="1350">
        <v>4</v>
      </c>
      <c r="T677" s="1343">
        <v>10</v>
      </c>
      <c r="U677" s="1351" t="b">
        <f>IF(AND(F677&gt;=S677,F677&lt;=T677),TRUE,FALSE)</f>
        <v>1</v>
      </c>
      <c r="V677" s="807"/>
      <c r="W677" s="819"/>
      <c r="X677" s="820"/>
      <c r="Y677" s="819"/>
      <c r="Z677" s="820"/>
      <c r="AA677" s="819"/>
      <c r="AB677" s="820"/>
      <c r="AD677" s="10"/>
      <c r="AE677" s="10"/>
      <c r="AF677" s="10"/>
      <c r="AG677" s="832">
        <f>IF($K677=TRUE,H677,0)</f>
        <v>14</v>
      </c>
      <c r="AH677" s="832">
        <f>IF($R677=TRUE,H677,0)</f>
        <v>0</v>
      </c>
      <c r="AI677" s="832">
        <f>IF($U677=TRUE,H677,0)</f>
        <v>14</v>
      </c>
      <c r="AJ677" s="1490">
        <f t="shared" ref="AJ677:AJ678" si="1400">IF(OR(I677=11,A677="F"),0,G677*I677)</f>
        <v>8</v>
      </c>
      <c r="AK677" s="1490">
        <f t="shared" ref="AK677:AK678" si="1401">IF(OR(J677=11,A677="F"),0,G677*J677)</f>
        <v>20</v>
      </c>
      <c r="AL677" s="1490">
        <f t="shared" ref="AL677:AL678" si="1402">IF(OR(P677=11,A677="F"),0,G677*P677)</f>
        <v>0</v>
      </c>
      <c r="AM677" s="1490">
        <f t="shared" ref="AM677:AM678" si="1403">IF(OR(Q677=11,A677="F"),0,G677*Q677)</f>
        <v>0</v>
      </c>
      <c r="AN677" s="1490">
        <f t="shared" ref="AN677:AN678" si="1404">IF(OR(S677=11,A677="F"),0,S677*G677)</f>
        <v>8</v>
      </c>
      <c r="AO677" s="1490">
        <f t="shared" ref="AO677:AO678" si="1405">IF(OR(T677=11,A677="F"),0,T677*G677)</f>
        <v>20</v>
      </c>
      <c r="AY677" s="734"/>
      <c r="AZ677" s="734"/>
      <c r="BA677" s="87"/>
      <c r="BB677" s="442"/>
      <c r="BC677" s="89"/>
      <c r="BD677" s="446"/>
      <c r="BE677" s="446"/>
      <c r="BF677" s="89"/>
      <c r="BG677" s="447"/>
      <c r="BH677" s="447"/>
      <c r="BI677" s="443"/>
    </row>
    <row r="678" spans="1:78" ht="19" x14ac:dyDescent="0.2">
      <c r="B678" s="1700"/>
      <c r="C678" s="379"/>
      <c r="D678" s="25"/>
      <c r="E678" s="78"/>
      <c r="F678" s="709"/>
      <c r="G678" s="708"/>
      <c r="H678" s="709">
        <f>F678*G678</f>
        <v>0</v>
      </c>
      <c r="I678" s="1374">
        <v>11</v>
      </c>
      <c r="J678" s="1375">
        <v>11</v>
      </c>
      <c r="K678" s="31" t="b">
        <f>IF(AND(F678&gt;=I678,F678&lt;=J678),TRUE,FALSE)</f>
        <v>0</v>
      </c>
      <c r="L678" s="31"/>
      <c r="M678" s="31"/>
      <c r="N678" s="31"/>
      <c r="O678" s="1351"/>
      <c r="P678" s="1374">
        <v>11</v>
      </c>
      <c r="Q678" s="1375">
        <v>11</v>
      </c>
      <c r="R678" s="1351" t="b">
        <f>IF(AND(F678&gt;=P678,F678&lt;=Q678),TRUE,FALSE)</f>
        <v>0</v>
      </c>
      <c r="S678" s="1374">
        <v>11</v>
      </c>
      <c r="T678" s="1375">
        <v>11</v>
      </c>
      <c r="U678" s="1351" t="b">
        <f>IF(AND(F678&gt;=S678,F678&lt;=T678),TRUE,FALSE)</f>
        <v>0</v>
      </c>
      <c r="V678" s="807"/>
      <c r="W678" s="821"/>
      <c r="X678" s="822"/>
      <c r="Y678" s="821"/>
      <c r="Z678" s="822"/>
      <c r="AA678" s="821"/>
      <c r="AB678" s="822"/>
      <c r="AD678" s="10"/>
      <c r="AE678" s="10"/>
      <c r="AF678" s="10"/>
      <c r="AG678" s="832">
        <f>IF($K678=TRUE,H678,0)</f>
        <v>0</v>
      </c>
      <c r="AH678" s="832">
        <f>IF($R678=TRUE,H678,0)</f>
        <v>0</v>
      </c>
      <c r="AI678" s="832">
        <f>IF($U678=TRUE,H678,0)</f>
        <v>0</v>
      </c>
      <c r="AJ678" s="1490">
        <f t="shared" si="1400"/>
        <v>0</v>
      </c>
      <c r="AK678" s="1490">
        <f t="shared" si="1401"/>
        <v>0</v>
      </c>
      <c r="AL678" s="1490">
        <f t="shared" si="1402"/>
        <v>0</v>
      </c>
      <c r="AM678" s="1490">
        <f t="shared" si="1403"/>
        <v>0</v>
      </c>
      <c r="AN678" s="1490">
        <f t="shared" si="1404"/>
        <v>0</v>
      </c>
      <c r="AO678" s="1490">
        <f t="shared" si="1405"/>
        <v>0</v>
      </c>
      <c r="AY678" s="734"/>
      <c r="AZ678" s="734"/>
      <c r="BA678" s="87"/>
      <c r="BB678" s="442"/>
      <c r="BC678" s="89"/>
      <c r="BD678" s="446"/>
      <c r="BE678" s="446"/>
      <c r="BF678" s="89"/>
      <c r="BG678" s="447"/>
      <c r="BH678" s="447"/>
      <c r="BI678" s="443"/>
    </row>
    <row r="679" spans="1:78" ht="34" x14ac:dyDescent="0.2">
      <c r="B679" s="1700"/>
      <c r="C679" s="710" t="s">
        <v>609</v>
      </c>
      <c r="D679" s="711" t="str">
        <f>_xlfn.XLOOKUP(H679,H677:H678,D677:D678)</f>
        <v>L'autre parent sent qu’il est en compétition avec vous pour l’amour de votre enfant.</v>
      </c>
      <c r="E679" s="712"/>
      <c r="F679" s="713"/>
      <c r="G679" s="713"/>
      <c r="H679" s="713">
        <f>IF(AND(K677=TRUE,K678=FALSE),H677,IF(AND(K677=FALSE,K678=TRUE),H678,MAX(H677,H678)))</f>
        <v>14</v>
      </c>
      <c r="I679" s="1352"/>
      <c r="J679" s="714"/>
      <c r="K679" s="715" t="b">
        <f>IF(AND(K677=FALSE,K678=FALSE),FALSE,TRUE)</f>
        <v>1</v>
      </c>
      <c r="L679" s="31"/>
      <c r="M679" s="31"/>
      <c r="N679" s="31"/>
      <c r="O679" s="1351"/>
      <c r="P679" s="1352"/>
      <c r="Q679" s="714"/>
      <c r="R679" s="1365" t="b">
        <f>IF(AND(R677=FALSE,R678=FALSE),FALSE,TRUE)</f>
        <v>0</v>
      </c>
      <c r="S679" s="1352"/>
      <c r="T679" s="714"/>
      <c r="U679" s="1365" t="b">
        <f>IF(AND(U677=FALSE,U678=FALSE),FALSE,TRUE)</f>
        <v>1</v>
      </c>
      <c r="V679" s="807"/>
      <c r="W679" s="821"/>
      <c r="X679" s="822"/>
      <c r="Y679" s="821"/>
      <c r="Z679" s="822"/>
      <c r="AA679" s="821"/>
      <c r="AB679" s="822"/>
      <c r="AD679" s="10"/>
      <c r="AE679" s="10"/>
      <c r="AF679" s="10"/>
      <c r="AG679" s="1740">
        <f>IF($K679=TRUE,MAX(AG677:AG678),0)</f>
        <v>14</v>
      </c>
      <c r="AH679" s="1740">
        <f>IF($R679=TRUE,MAX(AH677:AH678),0)</f>
        <v>0</v>
      </c>
      <c r="AI679" s="1740">
        <f>IF($U679=TRUE,MAX(AI677:AI678),0)</f>
        <v>14</v>
      </c>
      <c r="AJ679" s="1739">
        <f>MAX(AJ677:AJ678)</f>
        <v>8</v>
      </c>
      <c r="AK679" s="1739">
        <f t="shared" ref="AK679:AO679" si="1406">MAX(AK677:AK678)</f>
        <v>20</v>
      </c>
      <c r="AL679" s="1739">
        <f t="shared" si="1406"/>
        <v>0</v>
      </c>
      <c r="AM679" s="1739">
        <f t="shared" si="1406"/>
        <v>0</v>
      </c>
      <c r="AN679" s="1739">
        <f t="shared" si="1406"/>
        <v>8</v>
      </c>
      <c r="AO679" s="1739">
        <f t="shared" si="1406"/>
        <v>20</v>
      </c>
      <c r="AY679" s="734"/>
      <c r="AZ679" s="734"/>
      <c r="BA679" s="87"/>
      <c r="BB679" s="442"/>
      <c r="BC679" s="89"/>
      <c r="BD679" s="446"/>
      <c r="BE679" s="446"/>
      <c r="BF679" s="89"/>
      <c r="BG679" s="447"/>
      <c r="BH679" s="447"/>
      <c r="BI679" s="443"/>
    </row>
    <row r="680" spans="1:78" ht="16" x14ac:dyDescent="0.2">
      <c r="B680" s="1700"/>
      <c r="C680" s="38"/>
      <c r="D680" s="25"/>
      <c r="E680" s="78"/>
      <c r="F680" s="709"/>
      <c r="G680" s="708"/>
      <c r="H680" s="709">
        <f>F680*G680</f>
        <v>0</v>
      </c>
      <c r="I680" s="1374">
        <v>11</v>
      </c>
      <c r="J680" s="1375">
        <v>11</v>
      </c>
      <c r="K680" s="31" t="b">
        <f>IF(AND(F680&gt;=I680,F680&lt;=J680),TRUE,FALSE)</f>
        <v>0</v>
      </c>
      <c r="L680" s="31"/>
      <c r="M680" s="31"/>
      <c r="N680" s="31"/>
      <c r="O680" s="1351"/>
      <c r="P680" s="1374">
        <v>11</v>
      </c>
      <c r="Q680" s="1375">
        <v>11</v>
      </c>
      <c r="R680" s="1351" t="b">
        <f>IF(AND(F680&gt;=P680,F680&lt;=Q680),TRUE,FALSE)</f>
        <v>0</v>
      </c>
      <c r="S680" s="1374">
        <v>11</v>
      </c>
      <c r="T680" s="1375">
        <v>11</v>
      </c>
      <c r="U680" s="1351" t="b">
        <f>IF(AND(F680&gt;=S680,F680&lt;=T680),TRUE,FALSE)</f>
        <v>0</v>
      </c>
      <c r="V680" s="807"/>
      <c r="W680" s="821"/>
      <c r="X680" s="822"/>
      <c r="Y680" s="821"/>
      <c r="Z680" s="822"/>
      <c r="AA680" s="821"/>
      <c r="AB680" s="822"/>
      <c r="AD680" s="10"/>
      <c r="AE680" s="10"/>
      <c r="AF680" s="10"/>
      <c r="AG680" s="832">
        <f>IF(K680=TRUE,H680,0)</f>
        <v>0</v>
      </c>
      <c r="AH680" s="832">
        <f>IF(R680=TRUE,H680,0)</f>
        <v>0</v>
      </c>
      <c r="AI680" s="832">
        <f>IF(U680=TRUE,H680,0)</f>
        <v>0</v>
      </c>
      <c r="AJ680" s="1490">
        <f t="shared" ref="AJ680:AJ681" si="1407">IF(OR(I680=11,A680="F"),0,G680*I680)</f>
        <v>0</v>
      </c>
      <c r="AK680" s="1490">
        <f t="shared" ref="AK680:AK681" si="1408">IF(OR(J680=11,A680="F"),0,G680*J680)</f>
        <v>0</v>
      </c>
      <c r="AL680" s="1490">
        <f t="shared" ref="AL680:AL681" si="1409">IF(OR(P680=11,A680="F"),0,G680*P680)</f>
        <v>0</v>
      </c>
      <c r="AM680" s="1490">
        <f t="shared" ref="AM680:AM681" si="1410">IF(OR(Q680=11,A680="F"),0,G680*Q680)</f>
        <v>0</v>
      </c>
      <c r="AN680" s="1490">
        <f t="shared" ref="AN680:AN681" si="1411">IF(OR(S680=11,A680="F"),0,S680*G680)</f>
        <v>0</v>
      </c>
      <c r="AO680" s="1490">
        <f t="shared" ref="AO680:AO681" si="1412">IF(OR(T680=11,A680="F"),0,T680*G680)</f>
        <v>0</v>
      </c>
    </row>
    <row r="681" spans="1:78" ht="19" x14ac:dyDescent="0.2">
      <c r="B681" s="1700"/>
      <c r="C681" s="38"/>
      <c r="D681" s="25"/>
      <c r="E681" s="48"/>
      <c r="F681" s="27"/>
      <c r="G681" s="27"/>
      <c r="H681" s="27">
        <f>F681*G681</f>
        <v>0</v>
      </c>
      <c r="I681" s="1374">
        <v>11</v>
      </c>
      <c r="J681" s="1375">
        <v>11</v>
      </c>
      <c r="K681" s="31" t="b">
        <f>IF(AND(F681&gt;=I681,F681&lt;=J681),TRUE,FALSE)</f>
        <v>0</v>
      </c>
      <c r="L681" s="31"/>
      <c r="M681" s="31"/>
      <c r="N681" s="31"/>
      <c r="O681" s="1351"/>
      <c r="P681" s="1374">
        <v>11</v>
      </c>
      <c r="Q681" s="1375">
        <v>11</v>
      </c>
      <c r="R681" s="1351" t="b">
        <f>IF(AND(F681&gt;=P681,F681&lt;=Q681),TRUE,FALSE)</f>
        <v>0</v>
      </c>
      <c r="S681" s="1374">
        <v>11</v>
      </c>
      <c r="T681" s="1375">
        <v>11</v>
      </c>
      <c r="U681" s="1351" t="b">
        <f>IF(AND(F681&gt;=S681,F681&lt;=T681),TRUE,FALSE)</f>
        <v>0</v>
      </c>
      <c r="V681" s="807"/>
      <c r="W681" s="821"/>
      <c r="X681" s="822"/>
      <c r="Y681" s="821"/>
      <c r="Z681" s="822"/>
      <c r="AA681" s="821"/>
      <c r="AB681" s="822"/>
      <c r="AD681" s="10"/>
      <c r="AE681" s="10"/>
      <c r="AF681" s="10"/>
      <c r="AG681" s="832">
        <f>IF(K681=TRUE,H681,0)</f>
        <v>0</v>
      </c>
      <c r="AH681" s="832">
        <f>IF(R681=TRUE,H681,0)</f>
        <v>0</v>
      </c>
      <c r="AI681" s="832">
        <f>IF(U681=TRUE,H681,0)</f>
        <v>0</v>
      </c>
      <c r="AJ681" s="1490">
        <f t="shared" si="1407"/>
        <v>0</v>
      </c>
      <c r="AK681" s="1490">
        <f t="shared" si="1408"/>
        <v>0</v>
      </c>
      <c r="AL681" s="1490">
        <f t="shared" si="1409"/>
        <v>0</v>
      </c>
      <c r="AM681" s="1490">
        <f t="shared" si="1410"/>
        <v>0</v>
      </c>
      <c r="AN681" s="1490">
        <f t="shared" si="1411"/>
        <v>0</v>
      </c>
      <c r="AO681" s="1490">
        <f t="shared" si="1412"/>
        <v>0</v>
      </c>
      <c r="AV681" s="7"/>
      <c r="AX681" s="7"/>
      <c r="AY681" s="734"/>
      <c r="AZ681" s="734"/>
      <c r="BA681" s="87"/>
      <c r="BB681" s="442"/>
      <c r="BC681" s="89"/>
      <c r="BD681" s="446"/>
      <c r="BE681" s="446"/>
      <c r="BF681" s="89"/>
      <c r="BG681" s="447"/>
      <c r="BH681" s="447"/>
      <c r="BI681" s="443"/>
      <c r="BN681" s="25"/>
      <c r="BP681" s="7"/>
      <c r="BQ681" s="7"/>
      <c r="BR681" s="7"/>
      <c r="BS681" s="7"/>
      <c r="BT681" s="7"/>
      <c r="BU681" s="7"/>
      <c r="BV681" s="7"/>
      <c r="BW681" s="7"/>
      <c r="BX681" s="7"/>
      <c r="BY681" s="7"/>
      <c r="BZ681" s="7"/>
    </row>
    <row r="682" spans="1:78" ht="20" thickBot="1" x14ac:dyDescent="0.25">
      <c r="B682" s="1700"/>
      <c r="C682" s="716" t="s">
        <v>610</v>
      </c>
      <c r="D682" s="717">
        <f>_xlfn.XLOOKUP(H682,H680:H681,D680:D681)</f>
        <v>0</v>
      </c>
      <c r="E682" s="718"/>
      <c r="F682" s="719"/>
      <c r="G682" s="719"/>
      <c r="H682" s="713">
        <f>IF(AND(K680=TRUE,K681=FALSE),H680,IF(AND(K680=FALSE,K681=TRUE),H681,MAX(H680,H681)))</f>
        <v>0</v>
      </c>
      <c r="I682" s="1353"/>
      <c r="J682" s="720"/>
      <c r="K682" s="721" t="b">
        <f>IF(AND(K680=FALSE,K681=FALSE),FALSE,TRUE)</f>
        <v>0</v>
      </c>
      <c r="L682" s="31"/>
      <c r="M682" s="31"/>
      <c r="N682" s="31"/>
      <c r="O682" s="1351"/>
      <c r="P682" s="1353"/>
      <c r="Q682" s="720"/>
      <c r="R682" s="1366" t="b">
        <f>IF(AND(R680=FALSE,R681=FALSE),FALSE,TRUE)</f>
        <v>0</v>
      </c>
      <c r="S682" s="1353"/>
      <c r="T682" s="720"/>
      <c r="U682" s="1366" t="b">
        <f>IF(AND(U680=FALSE,U681=FALSE),FALSE,TRUE)</f>
        <v>0</v>
      </c>
      <c r="V682" s="807"/>
      <c r="W682" s="821"/>
      <c r="X682" s="822"/>
      <c r="Y682" s="821"/>
      <c r="Z682" s="822"/>
      <c r="AA682" s="821"/>
      <c r="AB682" s="822"/>
      <c r="AD682" s="10"/>
      <c r="AE682" s="10"/>
      <c r="AF682" s="10"/>
      <c r="AG682" s="1740">
        <f>IF($K682=TRUE,MAX(AG680:AG681),0)</f>
        <v>0</v>
      </c>
      <c r="AH682" s="1740">
        <f>IF($R682=TRUE,MAX(AH680:AH681),0)</f>
        <v>0</v>
      </c>
      <c r="AI682" s="1740">
        <f>IF($U682=TRUE,MAX(AI680:AI681),0)</f>
        <v>0</v>
      </c>
      <c r="AJ682" s="1739">
        <f>MAX(AJ680:AJ681)</f>
        <v>0</v>
      </c>
      <c r="AK682" s="1739">
        <f t="shared" ref="AK682:AO682" si="1413">MAX(AK680:AK681)</f>
        <v>0</v>
      </c>
      <c r="AL682" s="1739">
        <f t="shared" si="1413"/>
        <v>0</v>
      </c>
      <c r="AM682" s="1739">
        <f t="shared" si="1413"/>
        <v>0</v>
      </c>
      <c r="AN682" s="1739">
        <f t="shared" si="1413"/>
        <v>0</v>
      </c>
      <c r="AO682" s="1739">
        <f t="shared" si="1413"/>
        <v>0</v>
      </c>
      <c r="AV682" s="7"/>
      <c r="AX682" s="7"/>
      <c r="AY682" s="734"/>
      <c r="AZ682" s="734"/>
      <c r="BA682" s="87"/>
      <c r="BB682" s="442"/>
      <c r="BC682" s="89"/>
      <c r="BD682" s="446"/>
      <c r="BE682" s="446"/>
      <c r="BF682" s="89"/>
      <c r="BG682" s="447"/>
      <c r="BH682" s="447"/>
      <c r="BI682" s="443"/>
      <c r="BN682" s="25"/>
      <c r="BP682" s="7"/>
      <c r="BQ682" s="7"/>
      <c r="BR682" s="7"/>
      <c r="BS682" s="7"/>
      <c r="BT682" s="7"/>
      <c r="BU682" s="7"/>
      <c r="BV682" s="7"/>
      <c r="BW682" s="7"/>
      <c r="BX682" s="7"/>
      <c r="BY682" s="7"/>
      <c r="BZ682" s="7"/>
    </row>
    <row r="683" spans="1:78" ht="35" thickBot="1" x14ac:dyDescent="0.25">
      <c r="B683" s="1700"/>
      <c r="C683" s="722" t="s">
        <v>616</v>
      </c>
      <c r="D683" s="723"/>
      <c r="E683" s="723"/>
      <c r="F683" s="724"/>
      <c r="G683" s="724"/>
      <c r="H683" s="724">
        <f>IF(AND(K679=TRUE,K682=FALSE),H679,IF(AND(K679=FALSE,K682=TRUE),H682,IF(AND(K679=TRUE,K682=TRUE),H679+H682,MAX(H679,H682))))</f>
        <v>14</v>
      </c>
      <c r="I683" s="1354"/>
      <c r="J683" s="725"/>
      <c r="K683" s="726" t="b">
        <f>IF(AND(K679=FALSE,K682=FALSE),FALSE,TRUE)</f>
        <v>1</v>
      </c>
      <c r="L683" s="1338"/>
      <c r="M683" s="1338"/>
      <c r="N683" s="1338"/>
      <c r="O683" s="1355"/>
      <c r="P683" s="1354"/>
      <c r="Q683" s="725"/>
      <c r="R683" s="726" t="b">
        <f>IF(AND(R679=FALSE,R682=FALSE),FALSE,TRUE)</f>
        <v>0</v>
      </c>
      <c r="S683" s="1354"/>
      <c r="T683" s="725"/>
      <c r="U683" s="726" t="b">
        <f>IF(AND(U679=FALSE,U682=FALSE),FALSE,TRUE)</f>
        <v>1</v>
      </c>
      <c r="V683" s="807"/>
      <c r="W683" s="821" t="str">
        <f>IF(K683=TRUE,"V","F")</f>
        <v>V</v>
      </c>
      <c r="X683" s="822"/>
      <c r="Y683" s="821" t="str">
        <f>IF(R683=TRUE,"V","F")</f>
        <v>F</v>
      </c>
      <c r="Z683" s="822"/>
      <c r="AA683" s="821" t="str">
        <f>IF(U683=TRUE,"V","F")</f>
        <v>V</v>
      </c>
      <c r="AB683" s="822"/>
      <c r="AD683" s="10"/>
      <c r="AE683" s="10"/>
      <c r="AF683" s="10"/>
      <c r="AG683" s="591">
        <f>IF(AND($K679=TRUE,$K682=FALSE),AG679,IF(AND($K679=FALSE,$K682=TRUE),AG682,IF(AND($K679=TRUE,$K682=TRUE),AG679+AG682,0)))</f>
        <v>14</v>
      </c>
      <c r="AH683" s="591">
        <f>IF(AND($R679=TRUE,$R682=FALSE),AH679,IF(AND($R679=FALSE,$R682=TRUE),AH682,IF(AND($R679=TRUE,$R682=TRUE),AH679+AH682,0)))</f>
        <v>0</v>
      </c>
      <c r="AI683" s="591">
        <f>IF(AND($U679=TRUE,$U682=FALSE),AI679,IF(AND($U679=FALSE,$U682=TRUE),AI682,IF(AND($U679=TRUE,$U682=TRUE),AI679+AI682,0)))</f>
        <v>14</v>
      </c>
      <c r="AJ683" s="591">
        <f>IF(AND($K679=TRUE,$K682=FALSE),AJ679,IF(AND($K679=FALSE,$K682=TRUE),AJ682,IF(AND($K679=TRUE,$K682=TRUE),AJ679+AJ682,MAX(AJ679,AJ682))))</f>
        <v>8</v>
      </c>
      <c r="AK683" s="591">
        <f>IF(AND($K679=TRUE,$K682=FALSE),AK679,IF(AND($K679=FALSE,$K682=TRUE),AK682,IF(AND($K679=TRUE,$K682=TRUE),AK679+AK682,MAX(AK679,AK682))))</f>
        <v>20</v>
      </c>
      <c r="AL683" s="591">
        <f t="shared" ref="AL683:AM683" si="1414">IF(AND($R679=TRUE,$R682=FALSE),AL679,IF(AND($R679=FALSE,$R682=TRUE),AL682,IF(AND($R679=TRUE,$R682=TRUE),AL679+AL682,MAX(AL679,AL682))))</f>
        <v>0</v>
      </c>
      <c r="AM683" s="591">
        <f t="shared" si="1414"/>
        <v>0</v>
      </c>
      <c r="AN683" s="591">
        <f t="shared" ref="AN683:AO683" si="1415">IF(AND($U679=TRUE,$U682=FALSE),AN679,IF(AND($U679=FALSE,$U682=TRUE),AN682,IF(AND($U679=TRUE,$U682=TRUE),AN679+AN682,MAX(AN679,AN682))))</f>
        <v>8</v>
      </c>
      <c r="AO683" s="591">
        <f t="shared" si="1415"/>
        <v>20</v>
      </c>
      <c r="AV683" s="7"/>
      <c r="AX683" s="7"/>
      <c r="AY683" s="734"/>
      <c r="AZ683" s="734"/>
      <c r="BA683" s="87"/>
      <c r="BB683" s="442"/>
      <c r="BC683" s="89"/>
      <c r="BD683" s="446"/>
      <c r="BE683" s="446"/>
      <c r="BF683" s="89"/>
      <c r="BG683" s="447"/>
      <c r="BH683" s="447"/>
      <c r="BI683" s="443"/>
      <c r="BN683" s="25"/>
      <c r="BP683" s="7"/>
      <c r="BQ683" s="7"/>
      <c r="BR683" s="7"/>
      <c r="BS683" s="7"/>
      <c r="BT683" s="7"/>
      <c r="BU683" s="7"/>
      <c r="BV683" s="7"/>
      <c r="BW683" s="7"/>
      <c r="BX683" s="7"/>
      <c r="BY683" s="7"/>
      <c r="BZ683" s="7"/>
    </row>
    <row r="684" spans="1:78" ht="21" x14ac:dyDescent="0.2">
      <c r="B684" s="1700"/>
      <c r="C684" s="287"/>
      <c r="D684" s="25"/>
      <c r="E684" s="48"/>
      <c r="F684" s="709"/>
      <c r="G684" s="708"/>
      <c r="H684" s="709">
        <f>F684*G684</f>
        <v>0</v>
      </c>
      <c r="I684" s="1374"/>
      <c r="J684" s="1375"/>
      <c r="K684" s="31"/>
      <c r="L684" s="31"/>
      <c r="M684" s="31"/>
      <c r="N684" s="31"/>
      <c r="O684" s="1351"/>
      <c r="P684" s="1374"/>
      <c r="Q684" s="1375"/>
      <c r="R684" s="1351"/>
      <c r="S684" s="1350"/>
      <c r="T684" s="1343"/>
      <c r="U684" s="1351"/>
      <c r="V684" s="807"/>
      <c r="W684" s="821" t="s">
        <v>753</v>
      </c>
      <c r="X684" s="822"/>
      <c r="Y684" s="821"/>
      <c r="Z684" s="822"/>
      <c r="AA684" s="821"/>
      <c r="AB684" s="822"/>
      <c r="AD684" s="10"/>
      <c r="AE684" s="10"/>
      <c r="AF684" s="10"/>
      <c r="AG684" s="832">
        <f>IF($K684=TRUE,H684,0)</f>
        <v>0</v>
      </c>
      <c r="AH684" s="832">
        <f>IF($R684=TRUE,H684,0)</f>
        <v>0</v>
      </c>
      <c r="AI684" s="832"/>
      <c r="AJ684" s="1490">
        <f t="shared" ref="AJ684:AJ685" si="1416">IF(OR(I684=11,A684="F"),0,G684*I684)</f>
        <v>0</v>
      </c>
      <c r="AK684" s="1490">
        <f t="shared" ref="AK684:AK685" si="1417">IF(OR(J684=11,A684="F"),0,G684*J684)</f>
        <v>0</v>
      </c>
      <c r="AL684" s="1490">
        <f t="shared" ref="AL684:AL685" si="1418">IF(OR(P684=11,A684="F"),0,G684*P684)</f>
        <v>0</v>
      </c>
      <c r="AM684" s="1490">
        <f t="shared" ref="AM684:AM685" si="1419">IF(OR(Q684=11,A684="F"),0,G684*Q684)</f>
        <v>0</v>
      </c>
      <c r="AN684" s="1490">
        <f t="shared" ref="AN684:AN685" si="1420">IF(OR(S684=11,A684="F"),0,S684*G684)</f>
        <v>0</v>
      </c>
      <c r="AO684" s="1490">
        <f t="shared" ref="AO684:AO685" si="1421">IF(OR(T684=11,A684="F"),0,T684*G684)</f>
        <v>0</v>
      </c>
      <c r="AV684" s="7"/>
      <c r="AX684" s="7"/>
      <c r="AY684" s="734"/>
      <c r="AZ684" s="734"/>
      <c r="BA684" s="87"/>
      <c r="BB684" s="442"/>
      <c r="BC684" s="89"/>
      <c r="BD684" s="446"/>
      <c r="BE684" s="446"/>
      <c r="BF684" s="89"/>
      <c r="BG684" s="447"/>
      <c r="BH684" s="447"/>
      <c r="BI684" s="443"/>
      <c r="BN684" s="25"/>
      <c r="BP684" s="7"/>
      <c r="BQ684" s="7"/>
      <c r="BR684" s="7"/>
      <c r="BS684" s="7"/>
      <c r="BT684" s="7"/>
      <c r="BU684" s="7"/>
      <c r="BV684" s="7"/>
      <c r="BW684" s="7"/>
      <c r="BX684" s="7"/>
      <c r="BY684" s="7"/>
      <c r="BZ684" s="7"/>
    </row>
    <row r="685" spans="1:78" ht="20" thickBot="1" x14ac:dyDescent="0.25">
      <c r="B685" s="1700"/>
      <c r="C685" s="287"/>
      <c r="D685" s="698"/>
      <c r="E685" s="48"/>
      <c r="F685" s="709"/>
      <c r="G685" s="708"/>
      <c r="H685" s="709">
        <f>F685*G685</f>
        <v>0</v>
      </c>
      <c r="I685" s="1374"/>
      <c r="J685" s="1375"/>
      <c r="K685" s="31"/>
      <c r="L685" s="31"/>
      <c r="M685" s="31"/>
      <c r="N685" s="31"/>
      <c r="O685" s="1351"/>
      <c r="P685" s="1374"/>
      <c r="Q685" s="1375"/>
      <c r="R685" s="1351"/>
      <c r="S685" s="1374"/>
      <c r="T685" s="1375"/>
      <c r="U685" s="1351"/>
      <c r="V685" s="807"/>
      <c r="W685" s="821"/>
      <c r="X685" s="822"/>
      <c r="Y685" s="821"/>
      <c r="Z685" s="822"/>
      <c r="AA685" s="821"/>
      <c r="AB685" s="822"/>
      <c r="AD685" s="10"/>
      <c r="AE685" s="10"/>
      <c r="AF685" s="10"/>
      <c r="AG685" s="832">
        <f>IF($K685=TRUE,H685,0)</f>
        <v>0</v>
      </c>
      <c r="AH685" s="832">
        <f>IF($R685=TRUE,H685,0)</f>
        <v>0</v>
      </c>
      <c r="AI685" s="832"/>
      <c r="AJ685" s="1490">
        <f t="shared" si="1416"/>
        <v>0</v>
      </c>
      <c r="AK685" s="1490">
        <f t="shared" si="1417"/>
        <v>0</v>
      </c>
      <c r="AL685" s="1490">
        <f t="shared" si="1418"/>
        <v>0</v>
      </c>
      <c r="AM685" s="1490">
        <f t="shared" si="1419"/>
        <v>0</v>
      </c>
      <c r="AN685" s="1490">
        <f t="shared" si="1420"/>
        <v>0</v>
      </c>
      <c r="AO685" s="1490">
        <f t="shared" si="1421"/>
        <v>0</v>
      </c>
      <c r="AV685" s="7"/>
      <c r="AX685" s="7"/>
      <c r="AY685" s="734"/>
      <c r="AZ685" s="734"/>
      <c r="BA685" s="87"/>
      <c r="BB685" s="442"/>
      <c r="BC685" s="89"/>
      <c r="BD685" s="446"/>
      <c r="BE685" s="446"/>
      <c r="BF685" s="89"/>
      <c r="BG685" s="447"/>
      <c r="BH685" s="447"/>
      <c r="BI685" s="443"/>
      <c r="BN685" s="25"/>
      <c r="BP685" s="7"/>
      <c r="BQ685" s="7"/>
      <c r="BR685" s="7"/>
      <c r="BS685" s="7"/>
      <c r="BT685" s="7"/>
      <c r="BU685" s="7"/>
      <c r="BV685" s="7"/>
      <c r="BW685" s="7"/>
      <c r="BX685" s="7"/>
      <c r="BY685" s="7"/>
      <c r="BZ685" s="7"/>
    </row>
    <row r="686" spans="1:78" ht="17" thickBot="1" x14ac:dyDescent="0.25">
      <c r="B686" s="1700"/>
      <c r="C686" s="727" t="s">
        <v>611</v>
      </c>
      <c r="D686" s="728">
        <f>_xlfn.XLOOKUP(H686,H684:H685,D684:D685)</f>
        <v>0</v>
      </c>
      <c r="E686" s="728"/>
      <c r="F686" s="729"/>
      <c r="G686" s="729"/>
      <c r="H686" s="729">
        <f>IF(AND(K684=TRUE,K685=FALSE),H684,IF(AND(K684=FALSE,K685=TRUE),H685,MAX(H684,H685)))</f>
        <v>0</v>
      </c>
      <c r="I686" s="1356"/>
      <c r="J686" s="730"/>
      <c r="K686" s="731" t="b">
        <f>IF(AND(K684=FALSE,K685=FALSE),FALSE,TRUE)</f>
        <v>0</v>
      </c>
      <c r="L686" s="1339"/>
      <c r="M686" s="1339"/>
      <c r="N686" s="1339"/>
      <c r="O686" s="1357"/>
      <c r="P686" s="1356"/>
      <c r="Q686" s="730"/>
      <c r="R686" s="731" t="b">
        <f>IF(AND(R684=FALSE,R685=FALSE),FALSE,TRUE)</f>
        <v>0</v>
      </c>
      <c r="S686" s="1356"/>
      <c r="T686" s="730"/>
      <c r="U686" s="731"/>
      <c r="V686" s="807"/>
      <c r="W686" s="821" t="str">
        <f>IF(K686=TRUE,"V","F")</f>
        <v>F</v>
      </c>
      <c r="X686" s="822"/>
      <c r="Y686" s="821" t="str">
        <f>IF(R686=TRUE,"V","F")</f>
        <v>F</v>
      </c>
      <c r="Z686" s="822"/>
      <c r="AA686" s="821"/>
      <c r="AB686" s="822"/>
      <c r="AD686" s="10"/>
      <c r="AE686" s="10"/>
      <c r="AF686" s="10"/>
      <c r="AG686" s="1742">
        <f>IF(AND($K684=TRUE,$K685=FALSE),AG684,IF(AND($K684=FALSE,$K685=TRUE),AG685,IF(AND($K684=TRUE,$K685=TRUE),MAX(AG684,AG685),0)))</f>
        <v>0</v>
      </c>
      <c r="AH686" s="1742">
        <f>IF(AND($R684=TRUE,$R685=FALSE),AH684,IF(AND($R684=FALSE,$R685=TRUE),AH685,IF(AND($R684=TRUE,$R685=TRUE),MAX(AH684,AH685),0)))</f>
        <v>0</v>
      </c>
      <c r="AI686" s="1742"/>
      <c r="AJ686" s="1742">
        <f>IF(AND($K684=TRUE,$K685=FALSE),AJ684,IF(AND($K684=FALSE,$K685=TRUE),AJ685,IF(AND($K684=TRUE,$K685=TRUE),MAX(AJ684,AJ685),0)))</f>
        <v>0</v>
      </c>
      <c r="AK686" s="1742">
        <f>IF(AND($K684=TRUE,$K685=FALSE),AK684,IF(AND($K684=FALSE,$K685=TRUE),AK685,IF(AND($K684=TRUE,$K685=TRUE),MAX(AK684,AK685),0)))</f>
        <v>0</v>
      </c>
      <c r="AL686" s="1742">
        <f t="shared" ref="AL686:AM686" si="1422">IF(AND($R684=TRUE,$R685=FALSE),AL684,IF(AND($R684=FALSE,$R685=TRUE),AL685,IF(AND($R684=TRUE,$R685=TRUE),MAX(AL684,AL685),0)))</f>
        <v>0</v>
      </c>
      <c r="AM686" s="1742">
        <f t="shared" si="1422"/>
        <v>0</v>
      </c>
      <c r="AN686" s="1742"/>
      <c r="AO686" s="1742"/>
    </row>
    <row r="687" spans="1:78" ht="17" x14ac:dyDescent="0.2">
      <c r="B687" s="1700"/>
      <c r="D687" s="386" t="s">
        <v>273</v>
      </c>
      <c r="E687" s="705"/>
      <c r="F687" s="439" t="s">
        <v>349</v>
      </c>
      <c r="G687" s="33"/>
      <c r="H687" s="33">
        <f>IF(AND(K683=TRUE,K686=FALSE),H683,IF(AND(K683=FALSE,K686=TRUE),H686,IF(AND(K683=TRUE,K686=TRUE),H683+H686,MAX(H683,H686))))</f>
        <v>14</v>
      </c>
      <c r="I687" s="1358"/>
      <c r="J687" s="440"/>
      <c r="K687" s="1341"/>
      <c r="L687" s="1342"/>
      <c r="M687" s="1342"/>
      <c r="N687" s="1342"/>
      <c r="O687" s="1359"/>
      <c r="P687" s="1358"/>
      <c r="Q687" s="440"/>
      <c r="R687" s="1367"/>
      <c r="S687" s="1358"/>
      <c r="T687" s="440"/>
      <c r="U687" s="1367"/>
      <c r="V687" s="145"/>
      <c r="W687" s="823"/>
      <c r="X687" s="824">
        <f>IF(AND(W683="V",W686="V"),2,IF(OR(W683="V",W686="V"),1,0))</f>
        <v>1</v>
      </c>
      <c r="Y687" s="823"/>
      <c r="Z687" s="824">
        <f>IF(OR(Y683="V",Y686="V"),1,0)</f>
        <v>0</v>
      </c>
      <c r="AA687" s="823"/>
      <c r="AB687" s="824"/>
      <c r="AD687" s="10"/>
      <c r="AE687" s="10"/>
      <c r="AF687" s="10"/>
      <c r="AG687" s="1738">
        <f>IF(AND($W683="V",$W686="F"),AG683,IF(AND($W683="F",$W686="V"),AG686,IF(AND($W683="V",$W686="V"),AG683+AG686,0)))</f>
        <v>14</v>
      </c>
      <c r="AH687" s="1738">
        <f>IF(AND($Y683="V",$Y686="F"),AH683,IF(AND($Y683="F",$Y686="V"),AH686,IF(AND($Y683="V",$Y686="V"),AH683+AH686,0)))</f>
        <v>0</v>
      </c>
      <c r="AI687" s="1738"/>
      <c r="AJ687" s="1738">
        <f>IF(AND($W683="V",$W686="F"),AJ683,IF(AND($W683="F",$W686="V"),AJ686,IF(AND($W683="V",$W686="V"),AJ683+AJ686,0)))</f>
        <v>8</v>
      </c>
      <c r="AK687" s="1738">
        <f>IF(AND($W683="V",$W686="F"),AK683,IF(AND($W683="F",$W686="V"),AK686,IF(AND($W683="V",$W686="V"),AK683+AK686,0)))</f>
        <v>20</v>
      </c>
      <c r="AL687" s="1738">
        <f>IF(AND($Y683="V",$Y686="F"),AL683,IF(AND($Y683="F",$Y686="V"),AL686,IF(AND($Y683="V",$Y686="V"),AL683+AL686,0)))</f>
        <v>0</v>
      </c>
      <c r="AM687" s="1738">
        <f>IF(AND($Y683="V",$Y686="F"),AM683,IF(AND($Y683="F",$Y686="V"),AM686,IF(AND($Y683="V",$Y686="V"),AM683+AM686,0)))</f>
        <v>0</v>
      </c>
      <c r="AN687" s="1738"/>
      <c r="AO687" s="1738"/>
    </row>
    <row r="688" spans="1:78" ht="16" x14ac:dyDescent="0.2">
      <c r="B688" s="1700"/>
      <c r="C688" t="s">
        <v>238</v>
      </c>
      <c r="I688" s="122"/>
      <c r="L688" s="32"/>
      <c r="M688" s="32"/>
      <c r="N688" s="32"/>
      <c r="O688" s="1379"/>
      <c r="P688" s="122"/>
      <c r="R688" s="292"/>
      <c r="S688" s="122"/>
      <c r="U688" s="292"/>
      <c r="V688" s="32"/>
      <c r="W688" s="821"/>
      <c r="X688" s="822"/>
      <c r="Y688" s="821"/>
      <c r="Z688" s="822"/>
      <c r="AA688" s="821"/>
      <c r="AB688" s="822"/>
      <c r="AD688" s="10"/>
      <c r="AE688" s="10"/>
      <c r="AF688" s="10"/>
      <c r="AG688" s="832"/>
      <c r="AH688" s="832"/>
      <c r="AI688" s="832"/>
      <c r="AJ688" s="1490"/>
      <c r="AK688" s="1490"/>
      <c r="AL688" s="1490"/>
      <c r="AM688" s="1490"/>
      <c r="AN688" s="1490"/>
      <c r="AO688" s="1490"/>
    </row>
    <row r="689" spans="1:41" ht="16" x14ac:dyDescent="0.2">
      <c r="B689" s="1700"/>
      <c r="C689" s="825">
        <f>'Cpts AR +indép + Sommaire'!U119</f>
        <v>0</v>
      </c>
      <c r="D689" s="21">
        <f>'Cpts AR +indép + Sommaire'!V119</f>
        <v>0</v>
      </c>
      <c r="E689" s="826"/>
      <c r="F689" s="830">
        <f>'Cpts AR +indép + Sommaire'!W119</f>
        <v>0</v>
      </c>
      <c r="G689" s="830">
        <f>'Cpts AR +indép + Sommaire'!X119</f>
        <v>0</v>
      </c>
      <c r="H689" s="830">
        <f>F689*G689</f>
        <v>0</v>
      </c>
      <c r="I689" s="1374">
        <v>11</v>
      </c>
      <c r="J689" s="1375">
        <v>11</v>
      </c>
      <c r="K689" s="31" t="b">
        <f>IF(AND(F689&gt;=I689,F689&lt;=J689),TRUE,FALSE)</f>
        <v>0</v>
      </c>
      <c r="L689" s="26"/>
      <c r="M689" s="26"/>
      <c r="N689" s="26"/>
      <c r="O689" s="1360"/>
      <c r="P689" s="1374">
        <v>11</v>
      </c>
      <c r="Q689" s="1375">
        <v>11</v>
      </c>
      <c r="R689" s="1351" t="b">
        <f>IF(AND(F689&gt;=P689,F689&lt;=Q689),TRUE,FALSE)</f>
        <v>0</v>
      </c>
      <c r="S689" s="1374">
        <v>11</v>
      </c>
      <c r="T689" s="1375">
        <v>11</v>
      </c>
      <c r="U689" s="1351" t="b">
        <f>IF(AND(F689&gt;=S689,F689&lt;=T689),TRUE,FALSE)</f>
        <v>0</v>
      </c>
      <c r="V689" s="32"/>
      <c r="W689" s="821"/>
      <c r="X689" s="822"/>
      <c r="Y689" s="821"/>
      <c r="Z689" s="822"/>
      <c r="AA689" s="821"/>
      <c r="AB689" s="822"/>
      <c r="AD689" s="10"/>
      <c r="AE689" s="10"/>
      <c r="AF689" s="10"/>
      <c r="AG689" s="832">
        <f>IF($K689=TRUE,H689,0)</f>
        <v>0</v>
      </c>
      <c r="AH689" s="832">
        <f>IF($R689=TRUE,H689,0)</f>
        <v>0</v>
      </c>
      <c r="AI689" s="832">
        <f>IF($U689=TRUE,H689,0)</f>
        <v>0</v>
      </c>
      <c r="AJ689" s="1490">
        <f t="shared" ref="AJ689:AJ690" si="1423">IF(OR(I689=11,A689="F"),0,G689*I689)</f>
        <v>0</v>
      </c>
      <c r="AK689" s="1490">
        <f t="shared" ref="AK689:AK690" si="1424">IF(OR(J689=11,A689="F"),0,G689*J689)</f>
        <v>0</v>
      </c>
      <c r="AL689" s="1490">
        <f t="shared" ref="AL689:AL690" si="1425">IF(OR(P689=11,A689="F"),0,G689*P689)</f>
        <v>0</v>
      </c>
      <c r="AM689" s="1490">
        <f t="shared" ref="AM689:AM690" si="1426">IF(OR(Q689=11,A689="F"),0,G689*Q689)</f>
        <v>0</v>
      </c>
      <c r="AN689" s="1490">
        <f t="shared" ref="AN689:AN690" si="1427">IF(OR(S689=11,A689="F"),0,S689*G689)</f>
        <v>0</v>
      </c>
      <c r="AO689" s="1490">
        <f t="shared" ref="AO689:AO690" si="1428">IF(OR(T689=11,A689="F"),0,T689*G689)</f>
        <v>0</v>
      </c>
    </row>
    <row r="690" spans="1:41" ht="20" thickBot="1" x14ac:dyDescent="0.25">
      <c r="B690" s="1700"/>
      <c r="C690" s="825"/>
      <c r="D690" s="829"/>
      <c r="E690" s="826"/>
      <c r="F690" s="830"/>
      <c r="G690" s="830"/>
      <c r="H690" s="830">
        <f>F690*G690</f>
        <v>0</v>
      </c>
      <c r="I690" s="1374">
        <v>11</v>
      </c>
      <c r="J690" s="1375">
        <v>11</v>
      </c>
      <c r="K690" s="31" t="b">
        <f>IF(AND(F690&gt;=I690,F690&lt;=J690),TRUE,FALSE)</f>
        <v>0</v>
      </c>
      <c r="L690" s="26"/>
      <c r="M690" s="26"/>
      <c r="N690" s="26"/>
      <c r="O690" s="1360"/>
      <c r="P690" s="1374">
        <v>11</v>
      </c>
      <c r="Q690" s="1375">
        <v>11</v>
      </c>
      <c r="R690" s="1351" t="b">
        <f>IF(AND(F690&gt;=P690,F690&lt;=Q690),TRUE,FALSE)</f>
        <v>0</v>
      </c>
      <c r="S690" s="1374">
        <v>11</v>
      </c>
      <c r="T690" s="1375">
        <v>11</v>
      </c>
      <c r="U690" s="1351" t="b">
        <f>IF(AND(F690&gt;=S690,F690&lt;=T690),TRUE,FALSE)</f>
        <v>0</v>
      </c>
      <c r="W690" s="821"/>
      <c r="X690" s="822"/>
      <c r="Y690" s="821"/>
      <c r="Z690" s="822"/>
      <c r="AA690" s="821"/>
      <c r="AB690" s="822"/>
      <c r="AD690" s="10"/>
      <c r="AE690" s="10"/>
      <c r="AF690" s="10"/>
      <c r="AG690" s="832">
        <f>IF($K690=TRUE,H690,0)</f>
        <v>0</v>
      </c>
      <c r="AH690" s="832">
        <f>IF($R690=TRUE,H690,0)</f>
        <v>0</v>
      </c>
      <c r="AI690" s="832">
        <f>IF($U690=TRUE,H690,0)</f>
        <v>0</v>
      </c>
      <c r="AJ690" s="1490">
        <f t="shared" si="1423"/>
        <v>0</v>
      </c>
      <c r="AK690" s="1490">
        <f t="shared" si="1424"/>
        <v>0</v>
      </c>
      <c r="AL690" s="1490">
        <f t="shared" si="1425"/>
        <v>0</v>
      </c>
      <c r="AM690" s="1490">
        <f t="shared" si="1426"/>
        <v>0</v>
      </c>
      <c r="AN690" s="1490">
        <f t="shared" si="1427"/>
        <v>0</v>
      </c>
      <c r="AO690" s="1490">
        <f t="shared" si="1428"/>
        <v>0</v>
      </c>
    </row>
    <row r="691" spans="1:41" ht="27" thickBot="1" x14ac:dyDescent="0.35">
      <c r="B691" s="1700"/>
      <c r="E691" s="732"/>
      <c r="F691" s="73"/>
      <c r="G691" s="73"/>
      <c r="H691" s="33">
        <f>IF(AND(K689=TRUE,K690=FALSE),H689,IF(AND(K689=FALSE,K690=TRUE),H690,MAX(H689,H690)))</f>
        <v>0</v>
      </c>
      <c r="I691" s="1371"/>
      <c r="J691" s="1372"/>
      <c r="K691" s="1378" t="b">
        <f>IF(AND(K689=FALSE,K690=FALSE),FALSE,TRUE)</f>
        <v>0</v>
      </c>
      <c r="L691" s="1361"/>
      <c r="M691" s="1362"/>
      <c r="N691" s="1362"/>
      <c r="O691" s="1363"/>
      <c r="P691" s="1371"/>
      <c r="Q691" s="1372"/>
      <c r="R691" s="1378" t="b">
        <f>IF(AND(R689=FALSE,R690=FALSE),FALSE,TRUE)</f>
        <v>0</v>
      </c>
      <c r="S691" s="1383"/>
      <c r="T691" s="1384"/>
      <c r="U691" s="1385" t="b">
        <f>IF(AND(U689=FALSE,U690=FALSE),FALSE,TRUE)</f>
        <v>0</v>
      </c>
      <c r="V691" s="73"/>
      <c r="W691" s="1315" t="str">
        <f>IF(K691=TRUE,"V","F")</f>
        <v>F</v>
      </c>
      <c r="X691" s="1316"/>
      <c r="Y691" s="1315" t="str">
        <f>IF(R691=TRUE,"V","F")</f>
        <v>F</v>
      </c>
      <c r="Z691" s="1316"/>
      <c r="AA691" s="1315" t="str">
        <f>IF(U691=TRUE,"V","F")</f>
        <v>F</v>
      </c>
      <c r="AB691" s="1316"/>
      <c r="AD691" s="10"/>
      <c r="AE691" s="10"/>
      <c r="AF691" s="10"/>
      <c r="AG691" s="1742">
        <f>IF(AND($K689=TRUE,$K690=FALSE),AG689,IF(AND($K689=FALSE,$K690=TRUE),AG690,MAX(AG689,AG690)))</f>
        <v>0</v>
      </c>
      <c r="AH691" s="1742">
        <f>IF(AND($R689=TRUE,$R690=FALSE),AH689,IF(AND($R689=FALSE,$R690=TRUE),AH690,MAX(AH689,AH690)))</f>
        <v>0</v>
      </c>
      <c r="AI691" s="1742">
        <f>IF(AND($U689=TRUE,$U690=FALSE),AI689,IF(AND($U689=FALSE,$U690=TRUE),AI690,MAX(AI689,AI690)))</f>
        <v>0</v>
      </c>
      <c r="AJ691" s="1742">
        <f>IF(AND($K689=TRUE,$K690=FALSE),AJ689,IF(AND($K689=FALSE,$K690=TRUE),AJ690,MAX(AJ689,AJ690)))</f>
        <v>0</v>
      </c>
      <c r="AK691" s="1742">
        <f>IF(AND($K689=TRUE,$K690=FALSE),AK689,IF(AND($K689=FALSE,$K690=TRUE),AK690,MAX(AK689,AK690)))</f>
        <v>0</v>
      </c>
      <c r="AL691" s="1742">
        <f>IF(AND($R689=TRUE,$R690=FALSE),AL689,IF(AND($R689=FALSE,$R690=TRUE),AL690,MAX(AL689,AL690)))</f>
        <v>0</v>
      </c>
      <c r="AM691" s="1742">
        <f>IF(AND($R689=TRUE,$R690=FALSE),AM689,IF(AND($R689=FALSE,$R690=TRUE),AM690,MAX(AM689,AM690)))</f>
        <v>0</v>
      </c>
      <c r="AN691" s="1742">
        <f>IF(AND($U689=TRUE,$U690=FALSE),AN689,IF(AND($U689=FALSE,$U690=TRUE),AN690,MAX(AN689,AN690)))</f>
        <v>0</v>
      </c>
      <c r="AO691" s="1742">
        <f>IF(AND($U689=TRUE,$U690=FALSE),AO689,IF(AND($U689=FALSE,$U690=TRUE),AO690,MAX(AO689,AO690)))</f>
        <v>0</v>
      </c>
    </row>
    <row r="692" spans="1:41" ht="21" x14ac:dyDescent="0.25">
      <c r="B692" s="1700"/>
      <c r="W692" s="1376"/>
      <c r="X692" s="1377">
        <f>IF(AND(W691="V",W683="V"),X687-1,X687)</f>
        <v>1</v>
      </c>
      <c r="Y692" s="1376"/>
      <c r="Z692" s="1377">
        <f>IF(OR(Y683="V",Y686="V",Y691="V"),1,0)</f>
        <v>0</v>
      </c>
      <c r="AA692" s="1376"/>
      <c r="AB692" s="1377">
        <f>IF(AA683="V",1,IF(AA691="V",1,0))</f>
        <v>1</v>
      </c>
      <c r="AD692" s="10">
        <f>X692</f>
        <v>1</v>
      </c>
      <c r="AE692" s="10">
        <f>Z692</f>
        <v>0</v>
      </c>
      <c r="AF692" s="10">
        <f>AB692</f>
        <v>1</v>
      </c>
      <c r="AG692" s="1741">
        <f>IF($W691="F",AG687,AG687+AG691)</f>
        <v>14</v>
      </c>
      <c r="AH692" s="1741">
        <f>IF($Y691="F",AH687,AH687+AH691)</f>
        <v>0</v>
      </c>
      <c r="AI692" s="1741">
        <f>IF(AND($AA683="V",$AA691="F"),AI683,IF(AND($AA683="F",$AA691="V"),AI691,IF(AND($AA683="V",$AA691="V"),AI683+AI691,0)))</f>
        <v>14</v>
      </c>
      <c r="AJ692" s="1741">
        <f>IF($W691="F",AJ687,AJ687+AJ691)</f>
        <v>8</v>
      </c>
      <c r="AK692" s="1741">
        <f>IF($W691="F",AK687,AK687+AK691)</f>
        <v>20</v>
      </c>
      <c r="AL692" s="1741">
        <f t="shared" ref="AL692:AM692" si="1429">IF($Y691="F",AL687,AL687+AL691)</f>
        <v>0</v>
      </c>
      <c r="AM692" s="1741">
        <f t="shared" si="1429"/>
        <v>0</v>
      </c>
      <c r="AN692" s="1741">
        <f t="shared" ref="AN692:AO692" si="1430">IF(AND($AA683="V",$AA691="F"),AN683,IF(AND($AA683="F",$AA691="V"),AN691,IF(AND($AA683="V",$AA691="V"),AN683+AN691,0)))</f>
        <v>8</v>
      </c>
      <c r="AO692" s="1741">
        <f t="shared" si="1430"/>
        <v>20</v>
      </c>
    </row>
    <row r="693" spans="1:41" x14ac:dyDescent="0.3">
      <c r="B693" s="1700"/>
      <c r="E693" s="732"/>
      <c r="F693" s="73"/>
      <c r="G693" s="73"/>
      <c r="H693" s="438"/>
      <c r="I693" s="1380"/>
      <c r="J693" s="1380"/>
      <c r="K693" s="807"/>
      <c r="L693" s="1381"/>
      <c r="M693" s="1382"/>
      <c r="N693" s="1382"/>
      <c r="P693" s="1380"/>
      <c r="Q693" s="1380"/>
      <c r="R693" s="807"/>
      <c r="S693" s="8"/>
      <c r="T693" s="8"/>
      <c r="U693" s="807"/>
      <c r="V693" s="73"/>
      <c r="W693" s="8"/>
      <c r="X693" s="8"/>
      <c r="Y693" s="8"/>
      <c r="Z693" s="8"/>
      <c r="AA693" s="8"/>
      <c r="AB693" s="8"/>
      <c r="AG693" s="1941"/>
      <c r="AH693" s="1941"/>
      <c r="AI693" s="1941"/>
      <c r="AJ693" s="1941"/>
      <c r="AK693" s="1941"/>
      <c r="AL693" s="1941"/>
      <c r="AM693" s="1941"/>
      <c r="AN693" s="1941"/>
      <c r="AO693" s="1941"/>
    </row>
    <row r="694" spans="1:41" x14ac:dyDescent="0.3">
      <c r="B694" s="1699">
        <v>27</v>
      </c>
      <c r="D694" s="441" t="str">
        <f>'Cpts AR +indép + Sommaire'!B100</f>
        <v>Défenseur du parent</v>
      </c>
      <c r="E694" s="84"/>
      <c r="F694" s="50"/>
      <c r="G694" s="18"/>
      <c r="H694" s="18"/>
      <c r="I694" s="2595" t="s">
        <v>604</v>
      </c>
      <c r="J694" s="2596"/>
      <c r="K694" s="2596"/>
      <c r="L694" s="2597" t="s">
        <v>1086</v>
      </c>
      <c r="M694" s="2597"/>
      <c r="N694" s="2597"/>
      <c r="O694" s="2598"/>
      <c r="P694" s="2599" t="s">
        <v>603</v>
      </c>
      <c r="Q694" s="2600"/>
      <c r="R694" s="2601"/>
      <c r="S694" s="2590" t="s">
        <v>605</v>
      </c>
      <c r="T694" s="2591"/>
      <c r="U694" s="2592"/>
      <c r="V694" s="15"/>
      <c r="W694" s="817"/>
      <c r="X694" s="817"/>
      <c r="Y694" s="817"/>
      <c r="Z694" s="817"/>
      <c r="AA694" s="817"/>
      <c r="AB694" s="818"/>
      <c r="AD694" s="10"/>
      <c r="AE694" s="10"/>
      <c r="AF694" s="10"/>
      <c r="AG694" s="1386" t="s">
        <v>604</v>
      </c>
      <c r="AH694" s="1386" t="s">
        <v>603</v>
      </c>
      <c r="AI694" s="1386" t="s">
        <v>605</v>
      </c>
      <c r="AJ694" s="2589" t="s">
        <v>604</v>
      </c>
      <c r="AK694" s="2589"/>
      <c r="AL694" s="2589" t="s">
        <v>603</v>
      </c>
      <c r="AM694" s="2589"/>
      <c r="AN694" s="2589" t="s">
        <v>605</v>
      </c>
      <c r="AO694" s="2589"/>
    </row>
    <row r="695" spans="1:41" ht="34" x14ac:dyDescent="0.2">
      <c r="B695" s="1700"/>
      <c r="D695" s="79" t="s">
        <v>779</v>
      </c>
      <c r="E695" s="835" t="s">
        <v>778</v>
      </c>
      <c r="F695" s="26" t="s">
        <v>226</v>
      </c>
      <c r="G695" s="26" t="s">
        <v>22</v>
      </c>
      <c r="H695" s="26" t="s">
        <v>612</v>
      </c>
      <c r="I695" s="1348" t="s">
        <v>269</v>
      </c>
      <c r="J695" s="29" t="s">
        <v>270</v>
      </c>
      <c r="K695" s="29" t="s">
        <v>271</v>
      </c>
      <c r="L695" s="29" t="s">
        <v>363</v>
      </c>
      <c r="M695" s="29" t="s">
        <v>339</v>
      </c>
      <c r="N695" s="29" t="s">
        <v>340</v>
      </c>
      <c r="O695" s="1349" t="s">
        <v>341</v>
      </c>
      <c r="P695" s="1348" t="s">
        <v>269</v>
      </c>
      <c r="Q695" s="29" t="s">
        <v>270</v>
      </c>
      <c r="R695" s="1349" t="s">
        <v>271</v>
      </c>
      <c r="S695" s="1348" t="s">
        <v>269</v>
      </c>
      <c r="T695" s="29" t="s">
        <v>270</v>
      </c>
      <c r="U695" s="1349" t="s">
        <v>271</v>
      </c>
      <c r="V695" s="736"/>
      <c r="W695" s="827" t="s">
        <v>604</v>
      </c>
      <c r="X695" s="828" t="s">
        <v>754</v>
      </c>
      <c r="Y695" s="827" t="s">
        <v>603</v>
      </c>
      <c r="Z695" s="828" t="s">
        <v>755</v>
      </c>
      <c r="AA695" s="827" t="s">
        <v>605</v>
      </c>
      <c r="AB695" s="828" t="s">
        <v>756</v>
      </c>
      <c r="AD695" s="10"/>
      <c r="AE695" s="10"/>
      <c r="AF695" s="10"/>
      <c r="AG695" s="10"/>
      <c r="AH695" s="10"/>
      <c r="AI695" s="10"/>
      <c r="AJ695" s="1490" t="s">
        <v>1058</v>
      </c>
      <c r="AK695" s="1490" t="s">
        <v>1059</v>
      </c>
      <c r="AL695" s="1490" t="s">
        <v>1058</v>
      </c>
      <c r="AM695" s="1490" t="s">
        <v>1059</v>
      </c>
      <c r="AN695" s="1490" t="s">
        <v>1058</v>
      </c>
      <c r="AO695" s="1490" t="s">
        <v>1059</v>
      </c>
    </row>
    <row r="696" spans="1:41" ht="16" x14ac:dyDescent="0.2">
      <c r="B696" s="1700">
        <f>'Cpts AR +indép + Sommaire'!G276</f>
        <v>0</v>
      </c>
      <c r="C696" s="379">
        <f>'Cpts AR +indép + Sommaire'!C276</f>
        <v>0</v>
      </c>
      <c r="D696" s="25">
        <f>'Cpts AR +indép + Sommaire'!D276</f>
        <v>0</v>
      </c>
      <c r="E696" s="78"/>
      <c r="F696" s="709">
        <f>'Cpts AR +indép + Sommaire'!E276</f>
        <v>0</v>
      </c>
      <c r="G696" s="709">
        <f>'Cpts AR +indép + Sommaire'!F276</f>
        <v>0</v>
      </c>
      <c r="H696" s="709">
        <f>F696*G696</f>
        <v>0</v>
      </c>
      <c r="I696" s="1374">
        <v>11</v>
      </c>
      <c r="J696" s="1375">
        <v>11</v>
      </c>
      <c r="K696" s="31" t="b">
        <f>IF(AND(F696&gt;=I696,F696&lt;=J696),TRUE,FALSE)</f>
        <v>0</v>
      </c>
      <c r="L696" s="31"/>
      <c r="M696" s="31"/>
      <c r="N696" s="31"/>
      <c r="O696" s="1351"/>
      <c r="P696" s="1374">
        <v>11</v>
      </c>
      <c r="Q696" s="1375">
        <v>11</v>
      </c>
      <c r="R696" s="1351" t="b">
        <f>IF(AND(F696&gt;=P696,F696&lt;=Q696),TRUE,FALSE)</f>
        <v>0</v>
      </c>
      <c r="S696" s="1374">
        <v>11</v>
      </c>
      <c r="T696" s="1375">
        <v>11</v>
      </c>
      <c r="U696" s="1351" t="b">
        <f>IF(AND(F696&gt;=S696,F696&lt;=T696),TRUE,FALSE)</f>
        <v>0</v>
      </c>
      <c r="V696" s="807"/>
      <c r="W696" s="819"/>
      <c r="X696" s="820"/>
      <c r="Y696" s="819"/>
      <c r="Z696" s="820"/>
      <c r="AA696" s="819"/>
      <c r="AB696" s="820"/>
      <c r="AD696" s="10"/>
      <c r="AE696" s="10"/>
      <c r="AF696" s="10"/>
      <c r="AG696" s="832">
        <f>IF($K696=TRUE,H696,0)</f>
        <v>0</v>
      </c>
      <c r="AH696" s="832">
        <f>IF($R696=TRUE,H696,0)</f>
        <v>0</v>
      </c>
      <c r="AI696" s="832">
        <f>IF($U696=TRUE,H696,0)</f>
        <v>0</v>
      </c>
      <c r="AJ696" s="1490">
        <f t="shared" ref="AJ696:AJ697" si="1431">IF(OR(I696=11,A696="F"),0,G696*I696)</f>
        <v>0</v>
      </c>
      <c r="AK696" s="1490">
        <f t="shared" ref="AK696:AK697" si="1432">IF(OR(J696=11,A696="F"),0,G696*J696)</f>
        <v>0</v>
      </c>
      <c r="AL696" s="1490">
        <f t="shared" ref="AL696:AL697" si="1433">IF(OR(P696=11,A696="F"),0,G696*P696)</f>
        <v>0</v>
      </c>
      <c r="AM696" s="1490">
        <f t="shared" ref="AM696:AM697" si="1434">IF(OR(Q696=11,A696="F"),0,G696*Q696)</f>
        <v>0</v>
      </c>
      <c r="AN696" s="1490">
        <f t="shared" ref="AN696:AN697" si="1435">IF(OR(S696=11,A696="F"),0,S696*G696)</f>
        <v>0</v>
      </c>
      <c r="AO696" s="1490">
        <f t="shared" ref="AO696:AO697" si="1436">IF(OR(T696=11,A696="F"),0,T696*G696)</f>
        <v>0</v>
      </c>
    </row>
    <row r="697" spans="1:41" ht="16" x14ac:dyDescent="0.2">
      <c r="B697" s="1700">
        <f>'Cpts AR +indép + Sommaire'!G277</f>
        <v>0</v>
      </c>
      <c r="C697" s="379">
        <f>'Cpts AR +indép + Sommaire'!C277</f>
        <v>0</v>
      </c>
      <c r="D697" s="25">
        <f>'Cpts AR +indép + Sommaire'!D277</f>
        <v>0</v>
      </c>
      <c r="E697" s="78"/>
      <c r="F697" s="709">
        <f>'Cpts AR +indép + Sommaire'!E277</f>
        <v>0</v>
      </c>
      <c r="G697" s="709">
        <f>'Cpts AR +indép + Sommaire'!F277</f>
        <v>0</v>
      </c>
      <c r="H697" s="709">
        <f>F697*G697</f>
        <v>0</v>
      </c>
      <c r="I697" s="1374">
        <v>11</v>
      </c>
      <c r="J697" s="1375">
        <v>11</v>
      </c>
      <c r="K697" s="31" t="b">
        <f>IF(AND(F697&gt;=I697,F697&lt;=J697),TRUE,FALSE)</f>
        <v>0</v>
      </c>
      <c r="L697" s="31"/>
      <c r="M697" s="31"/>
      <c r="N697" s="31"/>
      <c r="O697" s="1351"/>
      <c r="P697" s="1374">
        <v>11</v>
      </c>
      <c r="Q697" s="1375">
        <v>11</v>
      </c>
      <c r="R697" s="1351" t="b">
        <f>IF(AND(F697&gt;=P697,F697&lt;=Q697),TRUE,FALSE)</f>
        <v>0</v>
      </c>
      <c r="S697" s="1374">
        <v>11</v>
      </c>
      <c r="T697" s="1375">
        <v>11</v>
      </c>
      <c r="U697" s="1351" t="b">
        <f>IF(AND(F697&gt;=S697,F697&lt;=T697),TRUE,FALSE)</f>
        <v>0</v>
      </c>
      <c r="V697" s="807"/>
      <c r="W697" s="821"/>
      <c r="X697" s="822"/>
      <c r="Y697" s="821"/>
      <c r="Z697" s="822"/>
      <c r="AA697" s="821"/>
      <c r="AB697" s="822"/>
      <c r="AD697" s="10"/>
      <c r="AE697" s="10"/>
      <c r="AF697" s="10"/>
      <c r="AG697" s="832">
        <f>IF($K697=TRUE,H697,0)</f>
        <v>0</v>
      </c>
      <c r="AH697" s="832">
        <f>IF($R697=TRUE,H697,0)</f>
        <v>0</v>
      </c>
      <c r="AI697" s="832">
        <f>IF($U697=TRUE,H697,0)</f>
        <v>0</v>
      </c>
      <c r="AJ697" s="1490">
        <f t="shared" si="1431"/>
        <v>0</v>
      </c>
      <c r="AK697" s="1490">
        <f t="shared" si="1432"/>
        <v>0</v>
      </c>
      <c r="AL697" s="1490">
        <f t="shared" si="1433"/>
        <v>0</v>
      </c>
      <c r="AM697" s="1490">
        <f t="shared" si="1434"/>
        <v>0</v>
      </c>
      <c r="AN697" s="1490">
        <f t="shared" si="1435"/>
        <v>0</v>
      </c>
      <c r="AO697" s="1490">
        <f t="shared" si="1436"/>
        <v>0</v>
      </c>
    </row>
    <row r="698" spans="1:41" ht="16" x14ac:dyDescent="0.2">
      <c r="B698" s="1700"/>
      <c r="C698" s="710" t="s">
        <v>609</v>
      </c>
      <c r="D698" s="711">
        <f>_xlfn.XLOOKUP(H698,H696:H697,D696:D697)</f>
        <v>0</v>
      </c>
      <c r="E698" s="712">
        <f>_xlfn.XLOOKUP(H698,H696:H697,E696:E697)</f>
        <v>0</v>
      </c>
      <c r="F698" s="713"/>
      <c r="G698" s="713"/>
      <c r="H698" s="713">
        <f>IF(AND(K696=TRUE,K697=FALSE),H696,IF(AND(K696=FALSE,K697=TRUE),H697,MAX(H696,H697)))</f>
        <v>0</v>
      </c>
      <c r="I698" s="1352"/>
      <c r="J698" s="714"/>
      <c r="K698" s="715" t="b">
        <f>IF(AND(K696=FALSE,K697=FALSE),FALSE,TRUE)</f>
        <v>0</v>
      </c>
      <c r="L698" s="31"/>
      <c r="M698" s="31"/>
      <c r="N698" s="31"/>
      <c r="O698" s="1351"/>
      <c r="P698" s="1352"/>
      <c r="Q698" s="714"/>
      <c r="R698" s="1365" t="b">
        <f>IF(AND(R696=FALSE,R697=FALSE),FALSE,TRUE)</f>
        <v>0</v>
      </c>
      <c r="S698" s="1352"/>
      <c r="T698" s="714"/>
      <c r="U698" s="1365" t="b">
        <f>IF(AND(U696=FALSE,U697=FALSE),FALSE,TRUE)</f>
        <v>0</v>
      </c>
      <c r="V698" s="807"/>
      <c r="W698" s="821"/>
      <c r="X698" s="822"/>
      <c r="Y698" s="821"/>
      <c r="Z698" s="822"/>
      <c r="AA698" s="821"/>
      <c r="AB698" s="822"/>
      <c r="AD698" s="10"/>
      <c r="AE698" s="10"/>
      <c r="AF698" s="10"/>
      <c r="AG698" s="1740">
        <f>IF($K698=TRUE,MAX(AG696:AG697),0)</f>
        <v>0</v>
      </c>
      <c r="AH698" s="1740">
        <f>IF($R698=TRUE,MAX(AH696:AH697),0)</f>
        <v>0</v>
      </c>
      <c r="AI698" s="1740">
        <f>IF($U698=TRUE,MAX(AI696:AI697),0)</f>
        <v>0</v>
      </c>
      <c r="AJ698" s="1739">
        <f>MAX(AJ696:AJ697)</f>
        <v>0</v>
      </c>
      <c r="AK698" s="1739">
        <f t="shared" ref="AK698:AO698" si="1437">MAX(AK696:AK697)</f>
        <v>0</v>
      </c>
      <c r="AL698" s="1739">
        <f t="shared" si="1437"/>
        <v>0</v>
      </c>
      <c r="AM698" s="1739">
        <f t="shared" si="1437"/>
        <v>0</v>
      </c>
      <c r="AN698" s="1739">
        <f t="shared" si="1437"/>
        <v>0</v>
      </c>
      <c r="AO698" s="1739">
        <f t="shared" si="1437"/>
        <v>0</v>
      </c>
    </row>
    <row r="699" spans="1:41" ht="16" x14ac:dyDescent="0.2">
      <c r="B699" s="1700"/>
      <c r="C699" s="38" t="s">
        <v>242</v>
      </c>
      <c r="D699" s="25"/>
      <c r="E699" s="78"/>
      <c r="F699" s="709"/>
      <c r="G699" s="708"/>
      <c r="H699" s="709">
        <f>F699*G699</f>
        <v>0</v>
      </c>
      <c r="I699" s="1374">
        <v>11</v>
      </c>
      <c r="J699" s="1375">
        <v>11</v>
      </c>
      <c r="K699" s="31" t="b">
        <f>IF(AND(F699&gt;=I699,F699&lt;=J699),TRUE,FALSE)</f>
        <v>0</v>
      </c>
      <c r="L699" s="31"/>
      <c r="M699" s="31"/>
      <c r="N699" s="31"/>
      <c r="O699" s="1351"/>
      <c r="P699" s="1374">
        <v>11</v>
      </c>
      <c r="Q699" s="1375">
        <v>11</v>
      </c>
      <c r="R699" s="1351" t="b">
        <f>IF(AND(F699&gt;=P699,F699&lt;=Q699),TRUE,FALSE)</f>
        <v>0</v>
      </c>
      <c r="S699" s="1374">
        <v>11</v>
      </c>
      <c r="T699" s="1375">
        <v>11</v>
      </c>
      <c r="U699" s="1351" t="b">
        <f>IF(AND(F699&gt;=S699,F699&lt;=T699),TRUE,FALSE)</f>
        <v>0</v>
      </c>
      <c r="V699" s="807"/>
      <c r="W699" s="821"/>
      <c r="X699" s="822"/>
      <c r="Y699" s="821"/>
      <c r="Z699" s="822"/>
      <c r="AA699" s="821"/>
      <c r="AB699" s="822"/>
      <c r="AD699" s="10"/>
      <c r="AE699" s="10"/>
      <c r="AF699" s="10"/>
      <c r="AG699" s="832">
        <f>IF(K699=TRUE,H699,0)</f>
        <v>0</v>
      </c>
      <c r="AH699" s="832">
        <f>IF(R699=TRUE,H699,0)</f>
        <v>0</v>
      </c>
      <c r="AI699" s="832">
        <f>IF(U699=TRUE,H699,0)</f>
        <v>0</v>
      </c>
      <c r="AJ699" s="1490">
        <f t="shared" ref="AJ699:AJ700" si="1438">IF(OR(I699=11,A699="F"),0,G699*I699)</f>
        <v>0</v>
      </c>
      <c r="AK699" s="1490">
        <f t="shared" ref="AK699:AK700" si="1439">IF(OR(J699=11,A699="F"),0,G699*J699)</f>
        <v>0</v>
      </c>
      <c r="AL699" s="1490">
        <f t="shared" ref="AL699:AL700" si="1440">IF(OR(P699=11,A699="F"),0,G699*P699)</f>
        <v>0</v>
      </c>
      <c r="AM699" s="1490">
        <f t="shared" ref="AM699:AM700" si="1441">IF(OR(Q699=11,A699="F"),0,G699*Q699)</f>
        <v>0</v>
      </c>
      <c r="AN699" s="1490">
        <f t="shared" ref="AN699:AN700" si="1442">IF(OR(S699=11,A699="F"),0,S699*G699)</f>
        <v>0</v>
      </c>
      <c r="AO699" s="1490">
        <f t="shared" ref="AO699:AO700" si="1443">IF(OR(T699=11,A699="F"),0,T699*G699)</f>
        <v>0</v>
      </c>
    </row>
    <row r="700" spans="1:41" ht="16" x14ac:dyDescent="0.2">
      <c r="B700" s="1700"/>
      <c r="C700" s="38" t="s">
        <v>242</v>
      </c>
      <c r="D700" s="25"/>
      <c r="E700" s="48"/>
      <c r="F700" s="27"/>
      <c r="G700" s="27"/>
      <c r="H700" s="27">
        <f>F700*G700</f>
        <v>0</v>
      </c>
      <c r="I700" s="1374">
        <v>11</v>
      </c>
      <c r="J700" s="1375">
        <v>11</v>
      </c>
      <c r="K700" s="31" t="b">
        <f>IF(AND(F700&gt;=I700,F700&lt;=J700),TRUE,FALSE)</f>
        <v>0</v>
      </c>
      <c r="L700" s="31"/>
      <c r="M700" s="31"/>
      <c r="N700" s="31"/>
      <c r="O700" s="1351"/>
      <c r="P700" s="1374">
        <v>11</v>
      </c>
      <c r="Q700" s="1375">
        <v>11</v>
      </c>
      <c r="R700" s="1351" t="b">
        <f>IF(AND(F700&gt;=P700,F700&lt;=Q700),TRUE,FALSE)</f>
        <v>0</v>
      </c>
      <c r="S700" s="1374">
        <v>11</v>
      </c>
      <c r="T700" s="1375">
        <v>11</v>
      </c>
      <c r="U700" s="1351" t="b">
        <f>IF(AND(F700&gt;=S700,F700&lt;=T700),TRUE,FALSE)</f>
        <v>0</v>
      </c>
      <c r="V700" s="807"/>
      <c r="W700" s="821"/>
      <c r="X700" s="822"/>
      <c r="Y700" s="821"/>
      <c r="Z700" s="822"/>
      <c r="AA700" s="821"/>
      <c r="AB700" s="822"/>
      <c r="AD700" s="10"/>
      <c r="AE700" s="10"/>
      <c r="AF700" s="10"/>
      <c r="AG700" s="832">
        <f>IF(K700=TRUE,H700,0)</f>
        <v>0</v>
      </c>
      <c r="AH700" s="832">
        <f>IF(R700=TRUE,H700,0)</f>
        <v>0</v>
      </c>
      <c r="AI700" s="832">
        <f>IF(U700=TRUE,H700,0)</f>
        <v>0</v>
      </c>
      <c r="AJ700" s="1490">
        <f t="shared" si="1438"/>
        <v>0</v>
      </c>
      <c r="AK700" s="1490">
        <f t="shared" si="1439"/>
        <v>0</v>
      </c>
      <c r="AL700" s="1490">
        <f t="shared" si="1440"/>
        <v>0</v>
      </c>
      <c r="AM700" s="1490">
        <f t="shared" si="1441"/>
        <v>0</v>
      </c>
      <c r="AN700" s="1490">
        <f t="shared" si="1442"/>
        <v>0</v>
      </c>
      <c r="AO700" s="1490">
        <f t="shared" si="1443"/>
        <v>0</v>
      </c>
    </row>
    <row r="701" spans="1:41" ht="17" thickBot="1" x14ac:dyDescent="0.25">
      <c r="B701" s="1700"/>
      <c r="C701" s="716" t="s">
        <v>610</v>
      </c>
      <c r="D701" s="717">
        <f>_xlfn.XLOOKUP(H701,H699:H700,D699:D700)</f>
        <v>0</v>
      </c>
      <c r="E701" s="718">
        <f>_xlfn.XLOOKUP(H701,H699:H700,E699:E700)</f>
        <v>0</v>
      </c>
      <c r="F701" s="719"/>
      <c r="G701" s="719"/>
      <c r="H701" s="713">
        <f>IF(AND(K699=TRUE,K700=FALSE),H699,IF(AND(K699=FALSE,K700=TRUE),H700,MAX(H699,H700)))</f>
        <v>0</v>
      </c>
      <c r="I701" s="1353"/>
      <c r="J701" s="720"/>
      <c r="K701" s="721" t="b">
        <f>IF(AND(K699=FALSE,K700=FALSE),FALSE,TRUE)</f>
        <v>0</v>
      </c>
      <c r="L701" s="31"/>
      <c r="M701" s="31"/>
      <c r="N701" s="31"/>
      <c r="O701" s="1351"/>
      <c r="P701" s="1353"/>
      <c r="Q701" s="720"/>
      <c r="R701" s="1366" t="b">
        <f>IF(AND(R699=FALSE,R700=FALSE),FALSE,TRUE)</f>
        <v>0</v>
      </c>
      <c r="S701" s="1353"/>
      <c r="T701" s="720"/>
      <c r="U701" s="1366" t="b">
        <f>IF(AND(U699=FALSE,U700=FALSE),FALSE,TRUE)</f>
        <v>0</v>
      </c>
      <c r="V701" s="807"/>
      <c r="W701" s="821"/>
      <c r="X701" s="822"/>
      <c r="Y701" s="821"/>
      <c r="Z701" s="822"/>
      <c r="AA701" s="821"/>
      <c r="AB701" s="822"/>
      <c r="AD701" s="10"/>
      <c r="AE701" s="10"/>
      <c r="AF701" s="10"/>
      <c r="AG701" s="1740">
        <f>IF($K701=TRUE,MAX(AG699:AG700),0)</f>
        <v>0</v>
      </c>
      <c r="AH701" s="1740">
        <f>IF($R701=TRUE,MAX(AH699:AH700),0)</f>
        <v>0</v>
      </c>
      <c r="AI701" s="1740">
        <f>IF($U701=TRUE,MAX(AI699:AI700),0)</f>
        <v>0</v>
      </c>
      <c r="AJ701" s="1739">
        <f>MAX(AJ699:AJ700)</f>
        <v>0</v>
      </c>
      <c r="AK701" s="1739">
        <f t="shared" ref="AK701:AO701" si="1444">MAX(AK699:AK700)</f>
        <v>0</v>
      </c>
      <c r="AL701" s="1739">
        <f t="shared" si="1444"/>
        <v>0</v>
      </c>
      <c r="AM701" s="1739">
        <f t="shared" si="1444"/>
        <v>0</v>
      </c>
      <c r="AN701" s="1739">
        <f t="shared" si="1444"/>
        <v>0</v>
      </c>
      <c r="AO701" s="1739">
        <f t="shared" si="1444"/>
        <v>0</v>
      </c>
    </row>
    <row r="702" spans="1:41" ht="35" thickBot="1" x14ac:dyDescent="0.25">
      <c r="B702" s="1700"/>
      <c r="C702" s="722" t="s">
        <v>616</v>
      </c>
      <c r="D702" s="723"/>
      <c r="E702" s="723">
        <f>IF(H702=H698,E698,E701)</f>
        <v>0</v>
      </c>
      <c r="F702" s="724"/>
      <c r="G702" s="724"/>
      <c r="H702" s="724">
        <f>IF(AND(K698=TRUE,K701=FALSE),H698,IF(AND(K698=FALSE,K701=TRUE),H701,IF(AND(K698=TRUE,K701=TRUE),H698+H701,MAX(H698,H701))))</f>
        <v>0</v>
      </c>
      <c r="I702" s="1354"/>
      <c r="J702" s="725"/>
      <c r="K702" s="726" t="b">
        <f>IF(AND(K698=FALSE,K701=FALSE),FALSE,TRUE)</f>
        <v>0</v>
      </c>
      <c r="L702" s="1338"/>
      <c r="M702" s="1338"/>
      <c r="N702" s="1338"/>
      <c r="O702" s="1355"/>
      <c r="P702" s="1354"/>
      <c r="Q702" s="725"/>
      <c r="R702" s="726" t="b">
        <f>IF(AND(R698=FALSE,R701=FALSE),FALSE,TRUE)</f>
        <v>0</v>
      </c>
      <c r="S702" s="1354"/>
      <c r="T702" s="725"/>
      <c r="U702" s="726" t="b">
        <f>IF(AND(U698=FALSE,U701=FALSE),FALSE,TRUE)</f>
        <v>0</v>
      </c>
      <c r="V702" s="807"/>
      <c r="W702" s="821" t="str">
        <f>IF(K702=TRUE,"V","F")</f>
        <v>F</v>
      </c>
      <c r="X702" s="822"/>
      <c r="Y702" s="821" t="str">
        <f>IF(R702=TRUE,"V","F")</f>
        <v>F</v>
      </c>
      <c r="Z702" s="822"/>
      <c r="AA702" s="821" t="str">
        <f>IF(U702=TRUE,"V","F")</f>
        <v>F</v>
      </c>
      <c r="AB702" s="822"/>
      <c r="AC702" t="str">
        <f>IF(OR(W702="V",Y702="V"),IF(H701&gt;H698,"Le NC contribue plus que le coparent","Le coparent joue un plus grand rôle que le NC"),"pas de contexte significatif de la part du coparent et NC")</f>
        <v>pas de contexte significatif de la part du coparent et NC</v>
      </c>
      <c r="AD702" s="10"/>
      <c r="AE702" s="10"/>
      <c r="AF702" s="10"/>
      <c r="AG702" s="591">
        <f>IF(AND($K698=TRUE,$K701=FALSE),AG698,IF(AND($K698=FALSE,$K701=TRUE),AG701,IF(AND($K698=TRUE,$K701=TRUE),AG698+AG701,0)))</f>
        <v>0</v>
      </c>
      <c r="AH702" s="591">
        <f>IF(AND($R698=TRUE,$R701=FALSE),AH698,IF(AND($R698=FALSE,$R701=TRUE),AH701,IF(AND($R698=TRUE,$R701=TRUE),AH698+AH701,0)))</f>
        <v>0</v>
      </c>
      <c r="AI702" s="591">
        <f>IF(AND($U698=TRUE,$U701=FALSE),AI698,IF(AND($U698=FALSE,$U701=TRUE),AI701,IF(AND($U698=TRUE,$U701=TRUE),AI698+AI701,0)))</f>
        <v>0</v>
      </c>
      <c r="AJ702" s="591">
        <f>IF(AND($K698=TRUE,$K701=FALSE),AJ698,IF(AND($K698=FALSE,$K701=TRUE),AJ701,IF(AND($K698=TRUE,$K701=TRUE),AJ698+AJ701,MAX(AJ698,AJ701))))</f>
        <v>0</v>
      </c>
      <c r="AK702" s="591">
        <f>IF(AND($K698=TRUE,$K701=FALSE),AK698,IF(AND($K698=FALSE,$K701=TRUE),AK701,IF(AND($K698=TRUE,$K701=TRUE),AK698+AK701,MAX(AK698,AK701))))</f>
        <v>0</v>
      </c>
      <c r="AL702" s="591">
        <f t="shared" ref="AL702:AM702" si="1445">IF(AND($R698=TRUE,$R701=FALSE),AL698,IF(AND($R698=FALSE,$R701=TRUE),AL701,IF(AND($R698=TRUE,$R701=TRUE),AL698+AL701,MAX(AL698,AL701))))</f>
        <v>0</v>
      </c>
      <c r="AM702" s="591">
        <f t="shared" si="1445"/>
        <v>0</v>
      </c>
      <c r="AN702" s="591">
        <f t="shared" ref="AN702:AO702" si="1446">IF(AND($U698=TRUE,$U701=FALSE),AN698,IF(AND($U698=FALSE,$U701=TRUE),AN701,IF(AND($U698=TRUE,$U701=TRUE),AN698+AN701,MAX(AN698,AN701))))</f>
        <v>0</v>
      </c>
      <c r="AO702" s="591">
        <f t="shared" si="1446"/>
        <v>0</v>
      </c>
    </row>
    <row r="703" spans="1:41" ht="34" x14ac:dyDescent="0.2">
      <c r="A703" t="str">
        <f>IF(Test_Bible!B283="","F","O")</f>
        <v>O</v>
      </c>
      <c r="B703" s="2148" t="s">
        <v>1823</v>
      </c>
      <c r="C703" s="287" t="str">
        <f>'Cpts AR +indép + Sommaire'!O100</f>
        <v>E10</v>
      </c>
      <c r="D703" s="25" t="str">
        <f>'Cpts AR +indép + Sommaire'!P100</f>
        <v>Votre enfant cherche à vous convaincre des qualités de l’autre parent.</v>
      </c>
      <c r="E703" s="78"/>
      <c r="F703" s="709">
        <f>'Cpts AR +indép + Sommaire'!Q100</f>
        <v>2</v>
      </c>
      <c r="G703" s="709">
        <f>'Cpts AR +indép + Sommaire'!R276</f>
        <v>0</v>
      </c>
      <c r="H703" s="709">
        <f>F703*G703</f>
        <v>0</v>
      </c>
      <c r="I703" s="1350">
        <v>4</v>
      </c>
      <c r="J703" s="1343">
        <v>10</v>
      </c>
      <c r="K703" s="31" t="b">
        <f>IF(AND(F703&gt;=I703,F703&lt;=J703),TRUE,FALSE)</f>
        <v>0</v>
      </c>
      <c r="L703" s="31"/>
      <c r="M703" s="31"/>
      <c r="N703" s="31"/>
      <c r="O703" s="1351"/>
      <c r="P703" s="1350">
        <v>2</v>
      </c>
      <c r="Q703" s="1343">
        <v>7</v>
      </c>
      <c r="R703" s="1351" t="b">
        <f>IF(AND(F703&gt;=P703,F703&lt;=Q703),TRUE,FALSE)</f>
        <v>1</v>
      </c>
      <c r="S703" s="1350"/>
      <c r="T703" s="1343"/>
      <c r="U703" s="1351"/>
      <c r="V703" s="807"/>
      <c r="W703" s="821" t="s">
        <v>753</v>
      </c>
      <c r="X703" s="822"/>
      <c r="Y703" s="821"/>
      <c r="Z703" s="822"/>
      <c r="AA703" s="821"/>
      <c r="AB703" s="822"/>
      <c r="AD703" s="10"/>
      <c r="AE703" s="10"/>
      <c r="AF703" s="10"/>
      <c r="AG703" s="832">
        <f>IF($K703=TRUE,H703,0)</f>
        <v>0</v>
      </c>
      <c r="AH703" s="832">
        <f>IF($R703=TRUE,H703,0)</f>
        <v>0</v>
      </c>
      <c r="AI703" s="832"/>
      <c r="AJ703" s="1490">
        <f t="shared" ref="AJ703:AJ704" si="1447">IF(OR(I703=11,A703="F"),0,G703*I703)</f>
        <v>0</v>
      </c>
      <c r="AK703" s="1490">
        <f t="shared" ref="AK703:AK704" si="1448">IF(OR(J703=11,A703="F"),0,G703*J703)</f>
        <v>0</v>
      </c>
      <c r="AL703" s="1490">
        <f t="shared" ref="AL703:AL704" si="1449">IF(OR(P703=11,A703="F"),0,G703*P703)</f>
        <v>0</v>
      </c>
      <c r="AM703" s="1490">
        <f t="shared" ref="AM703:AM704" si="1450">IF(OR(Q703=11,A703="F"),0,G703*Q703)</f>
        <v>0</v>
      </c>
      <c r="AN703" s="1490">
        <f t="shared" ref="AN703:AN704" si="1451">IF(OR(S703=11,A703="F"),0,S703*G703)</f>
        <v>0</v>
      </c>
      <c r="AO703" s="1490">
        <f t="shared" ref="AO703:AO704" si="1452">IF(OR(T703=11,A703="F"),0,T703*G703)</f>
        <v>0</v>
      </c>
    </row>
    <row r="704" spans="1:41" ht="17" thickBot="1" x14ac:dyDescent="0.25">
      <c r="B704" s="1700"/>
      <c r="C704" s="287" t="s">
        <v>272</v>
      </c>
      <c r="D704" s="25"/>
      <c r="E704" s="78"/>
      <c r="F704" s="709"/>
      <c r="G704" s="708"/>
      <c r="H704" s="709">
        <f>F704*G704</f>
        <v>0</v>
      </c>
      <c r="I704" s="1374">
        <v>11</v>
      </c>
      <c r="J704" s="1375">
        <v>11</v>
      </c>
      <c r="K704" s="31" t="b">
        <f>IF(AND(F704&gt;=I704,F704&lt;=J704),TRUE,FALSE)</f>
        <v>0</v>
      </c>
      <c r="L704" s="31"/>
      <c r="M704" s="31"/>
      <c r="N704" s="31"/>
      <c r="O704" s="1351"/>
      <c r="P704" s="1374">
        <v>11</v>
      </c>
      <c r="Q704" s="1375">
        <v>11</v>
      </c>
      <c r="R704" s="1351" t="b">
        <f>IF(AND(F704&gt;=P704,F704&lt;=Q704),TRUE,FALSE)</f>
        <v>0</v>
      </c>
      <c r="S704" s="1374"/>
      <c r="T704" s="1375"/>
      <c r="U704" s="1351"/>
      <c r="V704" s="807"/>
      <c r="W704" s="821"/>
      <c r="X704" s="822"/>
      <c r="Y704" s="821"/>
      <c r="Z704" s="822"/>
      <c r="AA704" s="821"/>
      <c r="AB704" s="822"/>
      <c r="AD704" s="10"/>
      <c r="AE704" s="10"/>
      <c r="AF704" s="10"/>
      <c r="AG704" s="832">
        <f>IF($K704=TRUE,H704,0)</f>
        <v>0</v>
      </c>
      <c r="AH704" s="832">
        <f>IF($R704=TRUE,H704,0)</f>
        <v>0</v>
      </c>
      <c r="AI704" s="832"/>
      <c r="AJ704" s="1490">
        <f t="shared" si="1447"/>
        <v>0</v>
      </c>
      <c r="AK704" s="1490">
        <f t="shared" si="1448"/>
        <v>0</v>
      </c>
      <c r="AL704" s="1490">
        <f t="shared" si="1449"/>
        <v>0</v>
      </c>
      <c r="AM704" s="1490">
        <f t="shared" si="1450"/>
        <v>0</v>
      </c>
      <c r="AN704" s="1490">
        <f t="shared" si="1451"/>
        <v>0</v>
      </c>
      <c r="AO704" s="1490">
        <f t="shared" si="1452"/>
        <v>0</v>
      </c>
    </row>
    <row r="705" spans="1:78" ht="35" thickBot="1" x14ac:dyDescent="0.25">
      <c r="B705" s="1700"/>
      <c r="C705" s="727" t="s">
        <v>611</v>
      </c>
      <c r="D705" s="728" t="str">
        <f>_xlfn.XLOOKUP(H705,H703:H704,D703:D704)</f>
        <v>Votre enfant cherche à vous convaincre des qualités de l’autre parent.</v>
      </c>
      <c r="E705" s="728" t="s">
        <v>1976</v>
      </c>
      <c r="F705" s="729"/>
      <c r="G705" s="729"/>
      <c r="H705" s="729">
        <f>IF(AND(K703=TRUE,K704=FALSE),H703,IF(AND(K703=FALSE,K704=TRUE),H704,MAX(H703,H704)))</f>
        <v>0</v>
      </c>
      <c r="I705" s="1356"/>
      <c r="J705" s="730"/>
      <c r="K705" s="731" t="b">
        <f>IF(AND(K703=FALSE,K704=FALSE),FALSE,TRUE)</f>
        <v>0</v>
      </c>
      <c r="L705" s="1339"/>
      <c r="M705" s="1339"/>
      <c r="N705" s="1339"/>
      <c r="O705" s="1357"/>
      <c r="P705" s="1356"/>
      <c r="Q705" s="730"/>
      <c r="R705" s="731" t="b">
        <f>IF(AND(R703=FALSE,R704=FALSE),FALSE,TRUE)</f>
        <v>1</v>
      </c>
      <c r="S705" s="1356"/>
      <c r="T705" s="730"/>
      <c r="U705" s="731"/>
      <c r="V705" s="807"/>
      <c r="W705" s="821" t="str">
        <f>IF(K705=TRUE,"V","F")</f>
        <v>F</v>
      </c>
      <c r="X705" s="822"/>
      <c r="Y705" s="821" t="str">
        <f>IF(R705=TRUE,"V","F")</f>
        <v>V</v>
      </c>
      <c r="Z705" s="822"/>
      <c r="AA705" s="821"/>
      <c r="AB705" s="822"/>
      <c r="AD705" s="10"/>
      <c r="AE705" s="10"/>
      <c r="AF705" s="10"/>
      <c r="AG705" s="1742">
        <f>IF(AND($K703=TRUE,$K704=FALSE),AG703,IF(AND($K703=FALSE,$K704=TRUE),AG704,IF(AND($K703=TRUE,$K704=TRUE),MAX(AG703,AG704),0)))</f>
        <v>0</v>
      </c>
      <c r="AH705" s="1742">
        <f>IF(AND($R703=TRUE,$R704=FALSE),AH703,IF(AND($R703=FALSE,$R704=TRUE),AH704,IF(AND($R703=TRUE,$R704=TRUE),MAX(AH703,AH704),0)))</f>
        <v>0</v>
      </c>
      <c r="AI705" s="1742"/>
      <c r="AJ705" s="1742">
        <f>IF(AND($K703=TRUE,$K704=FALSE),AJ703,IF(AND($K703=FALSE,$K704=TRUE),AJ704,IF(AND($K703=TRUE,$K704=TRUE),MAX(AJ703,AJ704),0)))</f>
        <v>0</v>
      </c>
      <c r="AK705" s="1742">
        <f>IF(AND($K703=TRUE,$K704=FALSE),AK703,IF(AND($K703=FALSE,$K704=TRUE),AK704,IF(AND($K703=TRUE,$K704=TRUE),MAX(AK703,AK704),0)))</f>
        <v>0</v>
      </c>
      <c r="AL705" s="1742">
        <f t="shared" ref="AL705:AM705" si="1453">IF(AND($R703=TRUE,$R704=FALSE),AL703,IF(AND($R703=FALSE,$R704=TRUE),AL704,IF(AND($R703=TRUE,$R704=TRUE),MAX(AL703,AL704),0)))</f>
        <v>0</v>
      </c>
      <c r="AM705" s="1742">
        <f t="shared" si="1453"/>
        <v>0</v>
      </c>
      <c r="AN705" s="1742"/>
      <c r="AO705" s="1742"/>
    </row>
    <row r="706" spans="1:78" ht="17" x14ac:dyDescent="0.2">
      <c r="B706" s="1700"/>
      <c r="D706" s="386" t="s">
        <v>273</v>
      </c>
      <c r="E706" s="705"/>
      <c r="F706" s="439" t="s">
        <v>349</v>
      </c>
      <c r="G706" s="33"/>
      <c r="H706" s="33">
        <f>IF(AND(K702=TRUE,K705=FALSE),H702,IF(AND(K702=FALSE,K705=TRUE),H705,IF(AND(K702=TRUE,K705=TRUE),H702+H705,MAX(H702,H705))))</f>
        <v>0</v>
      </c>
      <c r="I706" s="1358"/>
      <c r="J706" s="440"/>
      <c r="K706" s="1341"/>
      <c r="L706" s="1342"/>
      <c r="M706" s="1342"/>
      <c r="N706" s="1342" t="str">
        <f>IF(AND(K702=FALSE,K705=TRUE),E705,"")</f>
        <v/>
      </c>
      <c r="O706" s="1359"/>
      <c r="P706" s="1358"/>
      <c r="Q706" s="440"/>
      <c r="R706" s="1367"/>
      <c r="S706" s="1358"/>
      <c r="T706" s="440"/>
      <c r="U706" s="1367"/>
      <c r="V706" s="145"/>
      <c r="W706" s="823"/>
      <c r="X706" s="824">
        <f>IF(AND(W702="V",W705="V"),2,IF(OR(W702="V",W705="V"),1,0))</f>
        <v>0</v>
      </c>
      <c r="Y706" s="823"/>
      <c r="Z706" s="824">
        <f>IF(OR(Y702="V",Y705="V"),1,0)</f>
        <v>1</v>
      </c>
      <c r="AA706" s="823"/>
      <c r="AB706" s="824"/>
      <c r="AD706" s="10"/>
      <c r="AE706" s="10"/>
      <c r="AF706" s="10"/>
      <c r="AG706" s="1738">
        <f>IF(AND($W702="V",$W705="F"),AG702,IF(AND($W702="F",$W705="V"),AG705,IF(AND($W702="V",$W705="V"),AG702+AG705,0)))</f>
        <v>0</v>
      </c>
      <c r="AH706" s="1738">
        <f>IF(AND($Y702="V",$Y705="F"),AH702,IF(AND($Y702="F",$Y705="V"),AH705,IF(AND($Y702="V",$Y705="V"),AH702+AH705,0)))</f>
        <v>0</v>
      </c>
      <c r="AI706" s="1738"/>
      <c r="AJ706" s="1738">
        <f>IF(AND($W702="V",$W705="F"),AJ702,IF(AND($W702="F",$W705="V"),AJ705,IF(AND($W702="V",$W705="V"),AJ702+AJ705,0)))</f>
        <v>0</v>
      </c>
      <c r="AK706" s="1738">
        <f>IF(AND($W702="V",$W705="F"),AK702,IF(AND($W702="F",$W705="V"),AK705,IF(AND($W702="V",$W705="V"),AK702+AK705,0)))</f>
        <v>0</v>
      </c>
      <c r="AL706" s="1738">
        <f>IF(AND($Y702="V",$Y705="F"),AL702,IF(AND($Y702="F",$Y705="V"),AL705,IF(AND($Y702="V",$Y705="V"),AL702+AL705,0)))</f>
        <v>0</v>
      </c>
      <c r="AM706" s="1738">
        <f>IF(AND($Y702="V",$Y705="F"),AM702,IF(AND($Y702="F",$Y705="V"),AM705,IF(AND($Y702="V",$Y705="V"),AM702+AM705,0)))</f>
        <v>0</v>
      </c>
      <c r="AN706" s="1738"/>
      <c r="AO706" s="1738"/>
    </row>
    <row r="707" spans="1:78" ht="16" x14ac:dyDescent="0.2">
      <c r="B707" s="1700"/>
      <c r="C707" t="s">
        <v>238</v>
      </c>
      <c r="I707" s="122"/>
      <c r="L707" s="32"/>
      <c r="M707" s="32"/>
      <c r="N707" s="32"/>
      <c r="O707" s="1379"/>
      <c r="P707" s="122"/>
      <c r="R707" s="292"/>
      <c r="S707" s="122"/>
      <c r="U707" s="292"/>
      <c r="V707" s="32"/>
      <c r="W707" s="821"/>
      <c r="X707" s="822"/>
      <c r="Y707" s="821"/>
      <c r="Z707" s="822"/>
      <c r="AA707" s="821"/>
      <c r="AB707" s="822"/>
      <c r="AD707" s="10"/>
      <c r="AE707" s="10"/>
      <c r="AF707" s="10"/>
      <c r="AG707" s="832"/>
      <c r="AH707" s="832"/>
      <c r="AI707" s="832"/>
      <c r="AJ707" s="1490"/>
      <c r="AK707" s="1490"/>
      <c r="AL707" s="1490"/>
      <c r="AM707" s="1490"/>
      <c r="AN707" s="1490"/>
      <c r="AO707" s="1490"/>
    </row>
    <row r="708" spans="1:78" ht="19" x14ac:dyDescent="0.2">
      <c r="B708" s="1700"/>
      <c r="C708" s="825"/>
      <c r="D708" s="829"/>
      <c r="E708" s="826"/>
      <c r="F708" s="830"/>
      <c r="G708" s="830"/>
      <c r="H708" s="830">
        <f>F708*G708</f>
        <v>0</v>
      </c>
      <c r="I708" s="1374">
        <v>11</v>
      </c>
      <c r="J708" s="1375">
        <v>11</v>
      </c>
      <c r="K708" s="31" t="b">
        <f>IF(AND(F708&gt;=I708,F708&lt;=J708),TRUE,FALSE)</f>
        <v>0</v>
      </c>
      <c r="L708" s="26"/>
      <c r="M708" s="26"/>
      <c r="N708" s="26"/>
      <c r="O708" s="1360"/>
      <c r="P708" s="1374">
        <v>11</v>
      </c>
      <c r="Q708" s="1375">
        <v>11</v>
      </c>
      <c r="R708" s="1351" t="b">
        <f>IF(AND(F708&gt;=P708,F708&lt;=Q708),TRUE,FALSE)</f>
        <v>0</v>
      </c>
      <c r="S708" s="1374">
        <v>11</v>
      </c>
      <c r="T708" s="1375">
        <v>11</v>
      </c>
      <c r="U708" s="1351" t="b">
        <f>IF(AND(F708&gt;=S708,F708&lt;=T708),TRUE,FALSE)</f>
        <v>0</v>
      </c>
      <c r="V708" s="32"/>
      <c r="W708" s="821"/>
      <c r="X708" s="822"/>
      <c r="Y708" s="821"/>
      <c r="Z708" s="822"/>
      <c r="AA708" s="821"/>
      <c r="AB708" s="822"/>
      <c r="AD708" s="10"/>
      <c r="AE708" s="10"/>
      <c r="AF708" s="10"/>
      <c r="AG708" s="832">
        <f>IF($K708=TRUE,H708,0)</f>
        <v>0</v>
      </c>
      <c r="AH708" s="832">
        <f>IF($R708=TRUE,H708,0)</f>
        <v>0</v>
      </c>
      <c r="AI708" s="832">
        <f>IF($U708=TRUE,H708,0)</f>
        <v>0</v>
      </c>
      <c r="AJ708" s="1490">
        <f t="shared" ref="AJ708:AJ709" si="1454">IF(OR(I708=11,A708="F"),0,G708*I708)</f>
        <v>0</v>
      </c>
      <c r="AK708" s="1490">
        <f t="shared" ref="AK708:AK709" si="1455">IF(OR(J708=11,A708="F"),0,G708*J708)</f>
        <v>0</v>
      </c>
      <c r="AL708" s="1490">
        <f t="shared" ref="AL708:AL709" si="1456">IF(OR(P708=11,A708="F"),0,G708*P708)</f>
        <v>0</v>
      </c>
      <c r="AM708" s="1490">
        <f t="shared" ref="AM708:AM709" si="1457">IF(OR(Q708=11,A708="F"),0,G708*Q708)</f>
        <v>0</v>
      </c>
      <c r="AN708" s="1490">
        <f t="shared" ref="AN708:AN709" si="1458">IF(OR(S708=11,A708="F"),0,S708*G708)</f>
        <v>0</v>
      </c>
      <c r="AO708" s="1490">
        <f t="shared" ref="AO708:AO709" si="1459">IF(OR(T708=11,A708="F"),0,T708*G708)</f>
        <v>0</v>
      </c>
    </row>
    <row r="709" spans="1:78" ht="20" thickBot="1" x14ac:dyDescent="0.25">
      <c r="B709" s="1700"/>
      <c r="C709" s="825"/>
      <c r="D709" s="829"/>
      <c r="E709" s="826"/>
      <c r="F709" s="830"/>
      <c r="G709" s="830"/>
      <c r="H709" s="830">
        <f>F709*G709</f>
        <v>0</v>
      </c>
      <c r="I709" s="1374">
        <v>11</v>
      </c>
      <c r="J709" s="1375">
        <v>11</v>
      </c>
      <c r="K709" s="31" t="b">
        <f>IF(AND(F709&gt;=I709,F709&lt;=J709),TRUE,FALSE)</f>
        <v>0</v>
      </c>
      <c r="L709" s="26"/>
      <c r="M709" s="26"/>
      <c r="N709" s="26"/>
      <c r="O709" s="1360"/>
      <c r="P709" s="1374">
        <v>11</v>
      </c>
      <c r="Q709" s="1375">
        <v>11</v>
      </c>
      <c r="R709" s="1351" t="b">
        <f>IF(AND(F709&gt;=P709,F709&lt;=Q709),TRUE,FALSE)</f>
        <v>0</v>
      </c>
      <c r="S709" s="1374">
        <v>11</v>
      </c>
      <c r="T709" s="1375">
        <v>11</v>
      </c>
      <c r="U709" s="1351" t="b">
        <f>IF(AND(F709&gt;=S709,F709&lt;=T709),TRUE,FALSE)</f>
        <v>0</v>
      </c>
      <c r="W709" s="821"/>
      <c r="X709" s="822"/>
      <c r="Y709" s="821"/>
      <c r="Z709" s="822"/>
      <c r="AA709" s="821"/>
      <c r="AB709" s="822"/>
      <c r="AD709" s="10"/>
      <c r="AE709" s="10"/>
      <c r="AF709" s="10"/>
      <c r="AG709" s="832">
        <f>IF($K709=TRUE,H709,0)</f>
        <v>0</v>
      </c>
      <c r="AH709" s="832">
        <f>IF($R709=TRUE,H709,0)</f>
        <v>0</v>
      </c>
      <c r="AI709" s="832">
        <f>IF($U709=TRUE,H709,0)</f>
        <v>0</v>
      </c>
      <c r="AJ709" s="1490">
        <f t="shared" si="1454"/>
        <v>0</v>
      </c>
      <c r="AK709" s="1490">
        <f t="shared" si="1455"/>
        <v>0</v>
      </c>
      <c r="AL709" s="1490">
        <f t="shared" si="1456"/>
        <v>0</v>
      </c>
      <c r="AM709" s="1490">
        <f t="shared" si="1457"/>
        <v>0</v>
      </c>
      <c r="AN709" s="1490">
        <f t="shared" si="1458"/>
        <v>0</v>
      </c>
      <c r="AO709" s="1490">
        <f t="shared" si="1459"/>
        <v>0</v>
      </c>
    </row>
    <row r="710" spans="1:78" ht="27" thickBot="1" x14ac:dyDescent="0.35">
      <c r="D710" s="16"/>
      <c r="E710" s="16"/>
      <c r="F710" s="67"/>
      <c r="G710" s="438"/>
      <c r="H710" s="33">
        <f>IF(AND(K708=TRUE,K709=FALSE),H708,IF(AND(K708=FALSE,K709=TRUE),H709,MAX(H708,H709)))</f>
        <v>0</v>
      </c>
      <c r="I710" s="1371"/>
      <c r="J710" s="1372"/>
      <c r="K710" s="1378" t="b">
        <f>IF(AND(K708=FALSE,K709=FALSE),FALSE,TRUE)</f>
        <v>0</v>
      </c>
      <c r="L710" s="1361"/>
      <c r="M710" s="1362"/>
      <c r="N710" s="1362"/>
      <c r="O710" s="1363"/>
      <c r="P710" s="1371"/>
      <c r="Q710" s="1372"/>
      <c r="R710" s="1378" t="b">
        <f>IF(AND(R708=FALSE,R709=FALSE),FALSE,TRUE)</f>
        <v>0</v>
      </c>
      <c r="S710" s="1383"/>
      <c r="T710" s="1384"/>
      <c r="U710" s="1385" t="b">
        <f>IF(AND(U708=FALSE,U709=FALSE),FALSE,TRUE)</f>
        <v>0</v>
      </c>
      <c r="V710" s="809"/>
      <c r="W710" s="1315" t="str">
        <f>IF(K710=TRUE,"V","F")</f>
        <v>F</v>
      </c>
      <c r="X710" s="1316"/>
      <c r="Y710" s="1315" t="str">
        <f>IF(R710=TRUE,"V","F")</f>
        <v>F</v>
      </c>
      <c r="Z710" s="1316"/>
      <c r="AA710" s="1315" t="str">
        <f>IF(U710=TRUE,"V","F")</f>
        <v>F</v>
      </c>
      <c r="AB710" s="1316"/>
      <c r="AD710" s="10"/>
      <c r="AE710" s="10"/>
      <c r="AF710" s="10"/>
      <c r="AG710" s="1742">
        <f>IF(AND($K708=TRUE,$K709=FALSE),AG708,IF(AND($K708=FALSE,$K709=TRUE),AG709,MAX(AG708,AG709)))</f>
        <v>0</v>
      </c>
      <c r="AH710" s="1742">
        <f>IF(AND($R708=TRUE,$R709=FALSE),AH708,IF(AND($R708=FALSE,$R709=TRUE),AH709,MAX(AH708,AH709)))</f>
        <v>0</v>
      </c>
      <c r="AI710" s="1742">
        <f>IF(AND($U708=TRUE,$U709=FALSE),AI708,IF(AND($U708=FALSE,$U709=TRUE),AI709,MAX(AI708,AI709)))</f>
        <v>0</v>
      </c>
      <c r="AJ710" s="1742">
        <f>IF(AND($K708=TRUE,$K709=FALSE),AJ708,IF(AND($K708=FALSE,$K709=TRUE),AJ709,MAX(AJ708,AJ709)))</f>
        <v>0</v>
      </c>
      <c r="AK710" s="1742">
        <f>IF(AND($K708=TRUE,$K709=FALSE),AK708,IF(AND($K708=FALSE,$K709=TRUE),AK709,MAX(AK708,AK709)))</f>
        <v>0</v>
      </c>
      <c r="AL710" s="1742">
        <f>IF(AND($R708=TRUE,$R709=FALSE),AL708,IF(AND($R708=FALSE,$R709=TRUE),AL709,MAX(AL708,AL709)))</f>
        <v>0</v>
      </c>
      <c r="AM710" s="1742">
        <f>IF(AND($R708=TRUE,$R709=FALSE),AM708,IF(AND($R708=FALSE,$R709=TRUE),AM709,MAX(AM708,AM709)))</f>
        <v>0</v>
      </c>
      <c r="AN710" s="1742">
        <f>IF(AND($U708=TRUE,$U709=FALSE),AN708,IF(AND($U708=FALSE,$U709=TRUE),AN709,MAX(AN708,AN709)))</f>
        <v>0</v>
      </c>
      <c r="AO710" s="1742">
        <f>IF(AND($U708=TRUE,$U709=FALSE),AO708,IF(AND($U708=FALSE,$U709=TRUE),AO709,MAX(AO708,AO709)))</f>
        <v>0</v>
      </c>
    </row>
    <row r="711" spans="1:78" ht="21" x14ac:dyDescent="0.25">
      <c r="B711" s="1700"/>
      <c r="W711" s="1376"/>
      <c r="X711" s="1377">
        <f>IF(AND(W710="V",W702="V"),X706-1,X706)</f>
        <v>0</v>
      </c>
      <c r="Y711" s="1376"/>
      <c r="Z711" s="1377">
        <f>IF(OR(Y702="V",Y705="V",Y710="V"),1,0)</f>
        <v>1</v>
      </c>
      <c r="AA711" s="1376"/>
      <c r="AB711" s="1377">
        <f>IF(AA702="V",1,IF(AA710="V",1,0))</f>
        <v>0</v>
      </c>
      <c r="AD711" s="10">
        <f>X711</f>
        <v>0</v>
      </c>
      <c r="AE711" s="10">
        <f>Z711</f>
        <v>1</v>
      </c>
      <c r="AF711" s="10">
        <f>AB711</f>
        <v>0</v>
      </c>
      <c r="AG711" s="1741">
        <f>IF($W710="F",AG706,AG706+AG710)</f>
        <v>0</v>
      </c>
      <c r="AH711" s="1741">
        <f>IF($Y710="F",AH706,AH706+AH710)</f>
        <v>0</v>
      </c>
      <c r="AI711" s="1741">
        <f>IF(AND($AA702="V",$AA710="F"),AI702,IF(AND($AA702="F",$AA710="V"),AI710,IF(AND($AA702="V",$AA710="V"),AI702+AI710,0)))</f>
        <v>0</v>
      </c>
      <c r="AJ711" s="1741">
        <f>IF($W710="F",AJ706,AJ706+AJ710)</f>
        <v>0</v>
      </c>
      <c r="AK711" s="1741">
        <f>IF($W710="F",AK706,AK706+AK710)</f>
        <v>0</v>
      </c>
      <c r="AL711" s="1741">
        <f t="shared" ref="AL711:AM711" si="1460">IF($Y710="F",AL706,AL706+AL710)</f>
        <v>0</v>
      </c>
      <c r="AM711" s="1741">
        <f t="shared" si="1460"/>
        <v>0</v>
      </c>
      <c r="AN711" s="1741">
        <f t="shared" ref="AN711:AO711" si="1461">IF(AND($AA702="V",$AA710="F"),AN702,IF(AND($AA702="F",$AA710="V"),AN710,IF(AND($AA702="V",$AA710="V"),AN702+AN710,0)))</f>
        <v>0</v>
      </c>
      <c r="AO711" s="1741">
        <f t="shared" si="1461"/>
        <v>0</v>
      </c>
    </row>
    <row r="712" spans="1:78" ht="16" x14ac:dyDescent="0.2">
      <c r="B712" s="1700"/>
      <c r="W712" s="1387"/>
      <c r="X712" s="1388"/>
      <c r="Y712" s="1231"/>
    </row>
    <row r="713" spans="1:78" x14ac:dyDescent="0.3">
      <c r="B713" s="1699">
        <v>28</v>
      </c>
      <c r="D713" s="441" t="str">
        <f>'Cpts AR +indép + Sommaire'!B102</f>
        <v>Manque d'ambivalence</v>
      </c>
      <c r="E713" s="84"/>
      <c r="F713" s="50"/>
      <c r="G713" s="18"/>
      <c r="H713" s="18"/>
      <c r="I713" s="2595" t="s">
        <v>604</v>
      </c>
      <c r="J713" s="2596"/>
      <c r="K713" s="2596"/>
      <c r="L713" s="2597" t="s">
        <v>1086</v>
      </c>
      <c r="M713" s="2597"/>
      <c r="N713" s="2597"/>
      <c r="O713" s="2598"/>
      <c r="P713" s="2599" t="s">
        <v>603</v>
      </c>
      <c r="Q713" s="2600"/>
      <c r="R713" s="2601"/>
      <c r="S713" s="2590" t="s">
        <v>605</v>
      </c>
      <c r="T713" s="2591"/>
      <c r="U713" s="2592"/>
      <c r="V713" s="15"/>
      <c r="W713" s="817"/>
      <c r="X713" s="817"/>
      <c r="Y713" s="817"/>
      <c r="Z713" s="817"/>
      <c r="AA713" s="817"/>
      <c r="AB713" s="818"/>
      <c r="AD713" s="10"/>
      <c r="AE713" s="10"/>
      <c r="AF713" s="10"/>
      <c r="AG713" s="1386" t="s">
        <v>604</v>
      </c>
      <c r="AH713" s="1386" t="s">
        <v>603</v>
      </c>
      <c r="AI713" s="1386" t="s">
        <v>605</v>
      </c>
      <c r="AJ713" s="2589" t="s">
        <v>604</v>
      </c>
      <c r="AK713" s="2589"/>
      <c r="AL713" s="2589" t="s">
        <v>603</v>
      </c>
      <c r="AM713" s="2589"/>
      <c r="AN713" s="2589" t="s">
        <v>605</v>
      </c>
      <c r="AO713" s="2589"/>
    </row>
    <row r="714" spans="1:78" ht="34" x14ac:dyDescent="0.2">
      <c r="B714" s="1700"/>
      <c r="D714" s="79" t="s">
        <v>779</v>
      </c>
      <c r="E714" s="835" t="s">
        <v>778</v>
      </c>
      <c r="F714" s="26" t="s">
        <v>226</v>
      </c>
      <c r="G714" s="26" t="s">
        <v>22</v>
      </c>
      <c r="H714" s="26" t="s">
        <v>612</v>
      </c>
      <c r="I714" s="1348" t="s">
        <v>269</v>
      </c>
      <c r="J714" s="29" t="s">
        <v>270</v>
      </c>
      <c r="K714" s="29" t="s">
        <v>271</v>
      </c>
      <c r="L714" s="29" t="s">
        <v>363</v>
      </c>
      <c r="M714" s="29" t="s">
        <v>339</v>
      </c>
      <c r="N714" s="29" t="s">
        <v>340</v>
      </c>
      <c r="O714" s="1349" t="s">
        <v>341</v>
      </c>
      <c r="P714" s="1348" t="s">
        <v>269</v>
      </c>
      <c r="Q714" s="29" t="s">
        <v>270</v>
      </c>
      <c r="R714" s="1349" t="s">
        <v>271</v>
      </c>
      <c r="S714" s="1348" t="s">
        <v>269</v>
      </c>
      <c r="T714" s="29" t="s">
        <v>270</v>
      </c>
      <c r="U714" s="1349" t="s">
        <v>271</v>
      </c>
      <c r="V714" s="736"/>
      <c r="W714" s="827" t="s">
        <v>604</v>
      </c>
      <c r="X714" s="828" t="s">
        <v>754</v>
      </c>
      <c r="Y714" s="827" t="s">
        <v>603</v>
      </c>
      <c r="Z714" s="828" t="s">
        <v>755</v>
      </c>
      <c r="AA714" s="827" t="s">
        <v>605</v>
      </c>
      <c r="AB714" s="828" t="s">
        <v>756</v>
      </c>
      <c r="AD714" s="10"/>
      <c r="AE714" s="10"/>
      <c r="AF714" s="10"/>
      <c r="AG714" s="10"/>
      <c r="AH714" s="10"/>
      <c r="AI714" s="10"/>
      <c r="AJ714" s="1490" t="s">
        <v>1058</v>
      </c>
      <c r="AK714" s="1490" t="s">
        <v>1059</v>
      </c>
      <c r="AL714" s="1490" t="s">
        <v>1058</v>
      </c>
      <c r="AM714" s="1490" t="s">
        <v>1059</v>
      </c>
      <c r="AN714" s="1490" t="s">
        <v>1058</v>
      </c>
      <c r="AO714" s="1490" t="s">
        <v>1059</v>
      </c>
      <c r="AY714" s="734"/>
      <c r="AZ714" s="734"/>
      <c r="BA714" s="87"/>
      <c r="BB714" s="442"/>
      <c r="BC714" s="89"/>
      <c r="BD714" s="446"/>
      <c r="BE714" s="446"/>
      <c r="BF714" s="89"/>
      <c r="BG714" s="447"/>
      <c r="BH714" s="447"/>
      <c r="BI714" s="443"/>
    </row>
    <row r="715" spans="1:78" ht="19" x14ac:dyDescent="0.2">
      <c r="B715" s="1700">
        <f>'Cpts AR +indép + Sommaire'!G245</f>
        <v>0</v>
      </c>
      <c r="C715" s="1999">
        <f>'Cpts AR +indép + Sommaire'!C245</f>
        <v>0</v>
      </c>
      <c r="D715" s="2000">
        <f>'Cpts AR +indép + Sommaire'!D245</f>
        <v>0</v>
      </c>
      <c r="E715" s="78"/>
      <c r="F715" s="709">
        <f>'Cpts AR +indép + Sommaire'!E245</f>
        <v>0</v>
      </c>
      <c r="G715" s="709">
        <f>'Cpts AR +indép + Sommaire'!F245</f>
        <v>0</v>
      </c>
      <c r="H715" s="709">
        <f>F715*G715</f>
        <v>0</v>
      </c>
      <c r="I715" s="1374">
        <v>11</v>
      </c>
      <c r="J715" s="1375">
        <v>11</v>
      </c>
      <c r="K715" s="31" t="b">
        <f>IF(AND(F715&gt;=I715,F715&lt;=J715),TRUE,FALSE)</f>
        <v>0</v>
      </c>
      <c r="L715" s="31"/>
      <c r="M715" s="31"/>
      <c r="N715" s="31"/>
      <c r="O715" s="1351"/>
      <c r="P715" s="1374">
        <v>11</v>
      </c>
      <c r="Q715" s="1375">
        <v>11</v>
      </c>
      <c r="R715" s="1351" t="b">
        <f>IF(AND(F715&gt;=P715,F715&lt;=Q715),TRUE,FALSE)</f>
        <v>0</v>
      </c>
      <c r="S715" s="1374">
        <v>11</v>
      </c>
      <c r="T715" s="1375">
        <v>11</v>
      </c>
      <c r="U715" s="1351" t="b">
        <f>IF(AND(F715&gt;=S715,F715&lt;=T715),TRUE,FALSE)</f>
        <v>0</v>
      </c>
      <c r="V715" s="807"/>
      <c r="W715" s="819"/>
      <c r="X715" s="820"/>
      <c r="Y715" s="819"/>
      <c r="Z715" s="820"/>
      <c r="AA715" s="819"/>
      <c r="AB715" s="820"/>
      <c r="AD715" s="10"/>
      <c r="AE715" s="10"/>
      <c r="AF715" s="10"/>
      <c r="AG715" s="832">
        <f>IF($K715=TRUE,H715,0)</f>
        <v>0</v>
      </c>
      <c r="AH715" s="832">
        <f>IF($R715=TRUE,H715,0)</f>
        <v>0</v>
      </c>
      <c r="AI715" s="832">
        <f>IF($U715=TRUE,H715,0)</f>
        <v>0</v>
      </c>
      <c r="AJ715" s="1490">
        <f t="shared" ref="AJ715:AJ716" si="1462">IF(OR(I715=11,A715="F"),0,G715*I715)</f>
        <v>0</v>
      </c>
      <c r="AK715" s="1490">
        <f t="shared" ref="AK715:AK716" si="1463">IF(OR(J715=11,A715="F"),0,G715*J715)</f>
        <v>0</v>
      </c>
      <c r="AL715" s="1490">
        <f t="shared" ref="AL715:AL716" si="1464">IF(OR(P715=11,A715="F"),0,G715*P715)</f>
        <v>0</v>
      </c>
      <c r="AM715" s="1490">
        <f t="shared" ref="AM715:AM716" si="1465">IF(OR(Q715=11,A715="F"),0,G715*Q715)</f>
        <v>0</v>
      </c>
      <c r="AN715" s="1490">
        <f t="shared" ref="AN715:AN716" si="1466">IF(OR(S715=11,A715="F"),0,S715*G715)</f>
        <v>0</v>
      </c>
      <c r="AO715" s="1490">
        <f t="shared" ref="AO715:AO716" si="1467">IF(OR(T715=11,A715="F"),0,T715*G715)</f>
        <v>0</v>
      </c>
      <c r="AY715" s="734"/>
      <c r="AZ715" s="734"/>
      <c r="BA715" s="87"/>
      <c r="BB715" s="442"/>
      <c r="BC715" s="89"/>
      <c r="BD715" s="446"/>
      <c r="BE715" s="446"/>
      <c r="BF715" s="89"/>
      <c r="BG715" s="447"/>
      <c r="BH715" s="447"/>
      <c r="BI715" s="443"/>
    </row>
    <row r="716" spans="1:78" ht="19" x14ac:dyDescent="0.2">
      <c r="B716" s="1700">
        <f>'Cpts AR +indép + Sommaire'!G246</f>
        <v>0</v>
      </c>
      <c r="C716" s="21">
        <f>'Cpts AR +indép + Sommaire'!C246</f>
        <v>0</v>
      </c>
      <c r="D716" s="698">
        <f>'Cpts AR +indép + Sommaire'!D246</f>
        <v>0</v>
      </c>
      <c r="E716" s="274"/>
      <c r="F716" s="709">
        <f>'Cpts AR +indép + Sommaire'!E246</f>
        <v>0</v>
      </c>
      <c r="G716" s="709">
        <f>'Cpts AR +indép + Sommaire'!F246</f>
        <v>0</v>
      </c>
      <c r="H716" s="709">
        <f>F716*G716</f>
        <v>0</v>
      </c>
      <c r="I716" s="1374">
        <v>11</v>
      </c>
      <c r="J716" s="1375">
        <v>11</v>
      </c>
      <c r="K716" s="31" t="b">
        <f>IF(AND(F716&gt;=I716,F716&lt;=J716),TRUE,FALSE)</f>
        <v>0</v>
      </c>
      <c r="L716" s="31"/>
      <c r="M716" s="31"/>
      <c r="N716" s="31"/>
      <c r="O716" s="1351"/>
      <c r="P716" s="1374">
        <v>11</v>
      </c>
      <c r="Q716" s="1375">
        <v>11</v>
      </c>
      <c r="R716" s="1351" t="b">
        <f>IF(AND(F716&gt;=P716,F716&lt;=Q716),TRUE,FALSE)</f>
        <v>0</v>
      </c>
      <c r="S716" s="1374">
        <v>11</v>
      </c>
      <c r="T716" s="1375">
        <v>11</v>
      </c>
      <c r="U716" s="1351" t="b">
        <f>IF(AND(F716&gt;=S716,F716&lt;=T716),TRUE,FALSE)</f>
        <v>0</v>
      </c>
      <c r="V716" s="807"/>
      <c r="W716" s="821"/>
      <c r="X716" s="822"/>
      <c r="Y716" s="821"/>
      <c r="Z716" s="822"/>
      <c r="AA716" s="821"/>
      <c r="AB716" s="822"/>
      <c r="AD716" s="10"/>
      <c r="AE716" s="10"/>
      <c r="AF716" s="10"/>
      <c r="AG716" s="832">
        <f>IF($K716=TRUE,H716,0)</f>
        <v>0</v>
      </c>
      <c r="AH716" s="832">
        <f>IF($R716=TRUE,H716,0)</f>
        <v>0</v>
      </c>
      <c r="AI716" s="832">
        <f>IF($U716=TRUE,H716,0)</f>
        <v>0</v>
      </c>
      <c r="AJ716" s="1490">
        <f t="shared" si="1462"/>
        <v>0</v>
      </c>
      <c r="AK716" s="1490">
        <f t="shared" si="1463"/>
        <v>0</v>
      </c>
      <c r="AL716" s="1490">
        <f t="shared" si="1464"/>
        <v>0</v>
      </c>
      <c r="AM716" s="1490">
        <f t="shared" si="1465"/>
        <v>0</v>
      </c>
      <c r="AN716" s="1490">
        <f t="shared" si="1466"/>
        <v>0</v>
      </c>
      <c r="AO716" s="1490">
        <f t="shared" si="1467"/>
        <v>0</v>
      </c>
      <c r="AY716" s="734"/>
      <c r="AZ716" s="734"/>
      <c r="BA716" s="87"/>
      <c r="BB716" s="442"/>
      <c r="BC716" s="89"/>
      <c r="BD716" s="446"/>
      <c r="BE716" s="446"/>
      <c r="BF716" s="89"/>
      <c r="BG716" s="447"/>
      <c r="BH716" s="447"/>
      <c r="BI716" s="443"/>
    </row>
    <row r="717" spans="1:78" ht="19" x14ac:dyDescent="0.2">
      <c r="B717" s="1700"/>
      <c r="C717" s="710" t="s">
        <v>609</v>
      </c>
      <c r="D717" s="711">
        <f>_xlfn.XLOOKUP(H717,H715:H716,D715:D716)</f>
        <v>0</v>
      </c>
      <c r="E717" s="712">
        <f>_xlfn.XLOOKUP(H717,H715:H716,E715:E716)</f>
        <v>0</v>
      </c>
      <c r="F717" s="713"/>
      <c r="G717" s="713"/>
      <c r="H717" s="713">
        <f>IF(AND(K715=TRUE,K716=FALSE),H715,IF(AND(K715=FALSE,K716=TRUE),H716,MAX(H715,H716)))</f>
        <v>0</v>
      </c>
      <c r="I717" s="1352"/>
      <c r="J717" s="714"/>
      <c r="K717" s="715" t="b">
        <f>IF(AND(K715=FALSE,K716=FALSE),FALSE,TRUE)</f>
        <v>0</v>
      </c>
      <c r="L717" s="31"/>
      <c r="M717" s="31"/>
      <c r="N717" s="31"/>
      <c r="O717" s="1351"/>
      <c r="P717" s="1352"/>
      <c r="Q717" s="714"/>
      <c r="R717" s="1365" t="b">
        <f>IF(AND(R715=FALSE,R716=FALSE),FALSE,TRUE)</f>
        <v>0</v>
      </c>
      <c r="S717" s="1352"/>
      <c r="T717" s="714"/>
      <c r="U717" s="1365" t="b">
        <f>IF(AND(U715=FALSE,U716=FALSE),FALSE,TRUE)</f>
        <v>0</v>
      </c>
      <c r="V717" s="807"/>
      <c r="W717" s="821"/>
      <c r="X717" s="822"/>
      <c r="Y717" s="821"/>
      <c r="Z717" s="822"/>
      <c r="AA717" s="821"/>
      <c r="AB717" s="822"/>
      <c r="AD717" s="10"/>
      <c r="AE717" s="10"/>
      <c r="AF717" s="10"/>
      <c r="AG717" s="1740">
        <f>IF($K717=TRUE,MAX(AG715:AG716),0)</f>
        <v>0</v>
      </c>
      <c r="AH717" s="1740">
        <f>IF($R717=TRUE,MAX(AH715:AH716),0)</f>
        <v>0</v>
      </c>
      <c r="AI717" s="1740">
        <f>IF($U717=TRUE,MAX(AI715:AI716),0)</f>
        <v>0</v>
      </c>
      <c r="AJ717" s="1739">
        <f>MAX(AJ715:AJ716)</f>
        <v>0</v>
      </c>
      <c r="AK717" s="1739">
        <f t="shared" ref="AK717:AO717" si="1468">MAX(AK715:AK716)</f>
        <v>0</v>
      </c>
      <c r="AL717" s="1739">
        <f t="shared" si="1468"/>
        <v>0</v>
      </c>
      <c r="AM717" s="1739">
        <f t="shared" si="1468"/>
        <v>0</v>
      </c>
      <c r="AN717" s="1739">
        <f t="shared" si="1468"/>
        <v>0</v>
      </c>
      <c r="AO717" s="1739">
        <f t="shared" si="1468"/>
        <v>0</v>
      </c>
      <c r="AY717" s="734"/>
      <c r="AZ717" s="734"/>
      <c r="BA717" s="87"/>
      <c r="BB717" s="442"/>
      <c r="BC717" s="89"/>
      <c r="BD717" s="446"/>
      <c r="BE717" s="446"/>
      <c r="BF717" s="89"/>
      <c r="BG717" s="447"/>
      <c r="BH717" s="447"/>
      <c r="BI717" s="443"/>
    </row>
    <row r="718" spans="1:78" ht="19" x14ac:dyDescent="0.2">
      <c r="A718" s="2612"/>
      <c r="B718" s="1700">
        <f>'Cpts AR +indép + Sommaire'!M245</f>
        <v>0</v>
      </c>
      <c r="C718" s="38">
        <f>'Cpts AR +indép + Sommaire'!I245</f>
        <v>0</v>
      </c>
      <c r="D718" s="25">
        <f>'Cpts AR +indép + Sommaire'!J245</f>
        <v>0</v>
      </c>
      <c r="E718" s="78"/>
      <c r="F718" s="709">
        <f>'Cpts AR +indép + Sommaire'!K245</f>
        <v>0</v>
      </c>
      <c r="G718" s="709">
        <f>'Cpts AR +indép + Sommaire'!L245</f>
        <v>0</v>
      </c>
      <c r="H718" s="709">
        <f>F718*G718</f>
        <v>0</v>
      </c>
      <c r="I718" s="1374">
        <v>11</v>
      </c>
      <c r="J718" s="1375">
        <v>11</v>
      </c>
      <c r="K718" s="31" t="b">
        <f>IF(AND(F718&gt;=I718,F718&lt;=J718),TRUE,FALSE)</f>
        <v>0</v>
      </c>
      <c r="L718" s="31"/>
      <c r="M718" s="31"/>
      <c r="N718" s="31"/>
      <c r="O718" s="1351"/>
      <c r="P718" s="1374">
        <v>11</v>
      </c>
      <c r="Q718" s="1375">
        <v>11</v>
      </c>
      <c r="R718" s="1351" t="b">
        <f>IF(AND(F718&gt;=P718,F718&lt;=Q718),TRUE,FALSE)</f>
        <v>0</v>
      </c>
      <c r="S718" s="1374">
        <v>11</v>
      </c>
      <c r="T718" s="1375">
        <v>11</v>
      </c>
      <c r="U718" s="1351" t="b">
        <f>IF(AND(F718&gt;=S718,F718&lt;=T718),TRUE,FALSE)</f>
        <v>0</v>
      </c>
      <c r="V718" s="807"/>
      <c r="W718" s="821"/>
      <c r="X718" s="822"/>
      <c r="Y718" s="821"/>
      <c r="Z718" s="822"/>
      <c r="AA718" s="821"/>
      <c r="AB718" s="822"/>
      <c r="AD718" s="10"/>
      <c r="AE718" s="10"/>
      <c r="AF718" s="10"/>
      <c r="AG718" s="832">
        <f>IF(K718=TRUE,H718,0)</f>
        <v>0</v>
      </c>
      <c r="AH718" s="832">
        <f>IF(R718=TRUE,H718,0)</f>
        <v>0</v>
      </c>
      <c r="AI718" s="832">
        <f>IF(U718=TRUE,H718,0)</f>
        <v>0</v>
      </c>
      <c r="AJ718" s="1490">
        <f t="shared" ref="AJ718:AJ719" si="1469">IF(OR(I718=11,A718="F"),0,G718*I718)</f>
        <v>0</v>
      </c>
      <c r="AK718" s="1490">
        <f t="shared" ref="AK718:AK719" si="1470">IF(OR(J718=11,A718="F"),0,G718*J718)</f>
        <v>0</v>
      </c>
      <c r="AL718" s="1490">
        <f t="shared" ref="AL718:AL719" si="1471">IF(OR(P718=11,A718="F"),0,G718*P718)</f>
        <v>0</v>
      </c>
      <c r="AM718" s="1490">
        <f t="shared" ref="AM718:AM719" si="1472">IF(OR(Q718=11,A718="F"),0,G718*Q718)</f>
        <v>0</v>
      </c>
      <c r="AN718" s="1490">
        <f t="shared" ref="AN718:AN719" si="1473">IF(OR(S718=11,A718="F"),0,S718*G718)</f>
        <v>0</v>
      </c>
      <c r="AO718" s="1490">
        <f t="shared" ref="AO718:AO719" si="1474">IF(OR(T718=11,A718="F"),0,T718*G718)</f>
        <v>0</v>
      </c>
      <c r="AY718" s="734"/>
      <c r="AZ718" s="734"/>
      <c r="BA718" s="87"/>
      <c r="BB718" s="442"/>
      <c r="BC718" s="89"/>
      <c r="BD718" s="446"/>
      <c r="BE718" s="446"/>
      <c r="BF718" s="89"/>
      <c r="BG718" s="447"/>
      <c r="BH718" s="447"/>
      <c r="BI718" s="443"/>
    </row>
    <row r="719" spans="1:78" ht="16" x14ac:dyDescent="0.2">
      <c r="A719" s="2612"/>
      <c r="B719" s="1700">
        <f>'Cpts AR +indép + Sommaire'!M246</f>
        <v>0</v>
      </c>
      <c r="C719" s="38">
        <f>'Cpts AR +indép + Sommaire'!I246</f>
        <v>0</v>
      </c>
      <c r="D719" s="25">
        <f>'Cpts AR +indép + Sommaire'!J246</f>
        <v>0</v>
      </c>
      <c r="E719" s="48"/>
      <c r="F719" s="709">
        <f>'Cpts AR +indép + Sommaire'!K246</f>
        <v>0</v>
      </c>
      <c r="G719" s="709">
        <f>'Cpts AR +indép + Sommaire'!L246</f>
        <v>0</v>
      </c>
      <c r="H719" s="27">
        <f>F719*G719</f>
        <v>0</v>
      </c>
      <c r="I719" s="1374">
        <v>11</v>
      </c>
      <c r="J719" s="1375">
        <v>11</v>
      </c>
      <c r="K719" s="31" t="b">
        <f>IF(AND(F719&gt;=I719,F719&lt;=J719),TRUE,FALSE)</f>
        <v>0</v>
      </c>
      <c r="L719" s="31"/>
      <c r="M719" s="31"/>
      <c r="N719" s="31"/>
      <c r="O719" s="1351"/>
      <c r="P719" s="1374">
        <v>11</v>
      </c>
      <c r="Q719" s="1375">
        <v>11</v>
      </c>
      <c r="R719" s="1351" t="b">
        <f>IF(AND(F719&gt;=P719,F719&lt;=Q719),TRUE,FALSE)</f>
        <v>0</v>
      </c>
      <c r="S719" s="1374">
        <v>11</v>
      </c>
      <c r="T719" s="1375">
        <v>11</v>
      </c>
      <c r="U719" s="1351" t="b">
        <f>IF(AND(F719&gt;=S719,F719&lt;=T719),TRUE,FALSE)</f>
        <v>0</v>
      </c>
      <c r="V719" s="807"/>
      <c r="W719" s="821"/>
      <c r="X719" s="822"/>
      <c r="Y719" s="821"/>
      <c r="Z719" s="822"/>
      <c r="AA719" s="821"/>
      <c r="AB719" s="822"/>
      <c r="AD719" s="10"/>
      <c r="AE719" s="10"/>
      <c r="AF719" s="10"/>
      <c r="AG719" s="832">
        <f>IF(K719=TRUE,H719,0)</f>
        <v>0</v>
      </c>
      <c r="AH719" s="832">
        <f>IF(R719=TRUE,H719,0)</f>
        <v>0</v>
      </c>
      <c r="AI719" s="832">
        <f>IF(U719=TRUE,H719,0)</f>
        <v>0</v>
      </c>
      <c r="AJ719" s="1490">
        <f t="shared" si="1469"/>
        <v>0</v>
      </c>
      <c r="AK719" s="1490">
        <f t="shared" si="1470"/>
        <v>0</v>
      </c>
      <c r="AL719" s="1490">
        <f t="shared" si="1471"/>
        <v>0</v>
      </c>
      <c r="AM719" s="1490">
        <f t="shared" si="1472"/>
        <v>0</v>
      </c>
      <c r="AN719" s="1490">
        <f t="shared" si="1473"/>
        <v>0</v>
      </c>
      <c r="AO719" s="1490">
        <f t="shared" si="1474"/>
        <v>0</v>
      </c>
    </row>
    <row r="720" spans="1:78" ht="20" thickBot="1" x14ac:dyDescent="0.25">
      <c r="B720" s="1700"/>
      <c r="C720" s="716" t="s">
        <v>610</v>
      </c>
      <c r="D720" s="717">
        <f>_xlfn.XLOOKUP(H720,H718:H719,D718:D719)</f>
        <v>0</v>
      </c>
      <c r="E720" s="718">
        <f>_xlfn.XLOOKUP(H720,H718:H719,E718:E719)</f>
        <v>0</v>
      </c>
      <c r="F720" s="719"/>
      <c r="G720" s="719"/>
      <c r="H720" s="713">
        <f>IF(AND(K718=TRUE,K719=FALSE),H718,IF(AND(K718=FALSE,K719=TRUE),H719,MAX(H718,H719)))</f>
        <v>0</v>
      </c>
      <c r="I720" s="1353"/>
      <c r="J720" s="720"/>
      <c r="K720" s="721" t="b">
        <f>IF(AND(K718=FALSE,K719=FALSE),FALSE,TRUE)</f>
        <v>0</v>
      </c>
      <c r="L720" s="31"/>
      <c r="M720" s="31"/>
      <c r="N720" s="31"/>
      <c r="O720" s="1351"/>
      <c r="P720" s="1353"/>
      <c r="Q720" s="720"/>
      <c r="R720" s="1366" t="b">
        <f>IF(AND(R718=FALSE,R719=FALSE),FALSE,TRUE)</f>
        <v>0</v>
      </c>
      <c r="S720" s="1353"/>
      <c r="T720" s="720"/>
      <c r="U720" s="1366" t="b">
        <f>IF(AND(U718=FALSE,U719=FALSE),FALSE,TRUE)</f>
        <v>0</v>
      </c>
      <c r="V720" s="807"/>
      <c r="W720" s="821"/>
      <c r="X720" s="822"/>
      <c r="Y720" s="821"/>
      <c r="Z720" s="822"/>
      <c r="AA720" s="821"/>
      <c r="AB720" s="822"/>
      <c r="AD720" s="10"/>
      <c r="AE720" s="10"/>
      <c r="AF720" s="10"/>
      <c r="AG720" s="1740">
        <f>IF($K720=TRUE,MAX(AG718:AG719),0)</f>
        <v>0</v>
      </c>
      <c r="AH720" s="1740">
        <f>IF($R720=TRUE,MAX(AH718:AH719),0)</f>
        <v>0</v>
      </c>
      <c r="AI720" s="1740">
        <f>IF($U720=TRUE,MAX(AI718:AI719),0)</f>
        <v>0</v>
      </c>
      <c r="AJ720" s="1739">
        <f>MAX(AJ718:AJ719)</f>
        <v>0</v>
      </c>
      <c r="AK720" s="1739">
        <f t="shared" ref="AK720:AO720" si="1475">MAX(AK718:AK719)</f>
        <v>0</v>
      </c>
      <c r="AL720" s="1739">
        <f t="shared" si="1475"/>
        <v>0</v>
      </c>
      <c r="AM720" s="1739">
        <f t="shared" si="1475"/>
        <v>0</v>
      </c>
      <c r="AN720" s="1739">
        <f t="shared" si="1475"/>
        <v>0</v>
      </c>
      <c r="AO720" s="1739">
        <f t="shared" si="1475"/>
        <v>0</v>
      </c>
      <c r="AV720" s="7"/>
      <c r="AX720" s="7"/>
      <c r="AY720" s="734"/>
      <c r="AZ720" s="734"/>
      <c r="BA720" s="87"/>
      <c r="BB720" s="442"/>
      <c r="BC720" s="89"/>
      <c r="BD720" s="446"/>
      <c r="BE720" s="446"/>
      <c r="BF720" s="89"/>
      <c r="BG720" s="447"/>
      <c r="BH720" s="447"/>
      <c r="BI720" s="443"/>
      <c r="BN720" s="25"/>
      <c r="BP720" s="7"/>
      <c r="BQ720" s="7"/>
      <c r="BR720" s="7"/>
      <c r="BS720" s="7"/>
      <c r="BT720" s="7"/>
      <c r="BU720" s="7"/>
      <c r="BV720" s="7"/>
      <c r="BW720" s="7"/>
      <c r="BX720" s="7"/>
      <c r="BY720" s="7"/>
      <c r="BZ720" s="7"/>
    </row>
    <row r="721" spans="1:78" ht="35" thickBot="1" x14ac:dyDescent="0.25">
      <c r="B721" s="1700"/>
      <c r="C721" s="722" t="s">
        <v>616</v>
      </c>
      <c r="D721" s="723"/>
      <c r="E721" s="723">
        <f>IF(H721=H717,E717,E720)</f>
        <v>0</v>
      </c>
      <c r="F721" s="724"/>
      <c r="G721" s="724"/>
      <c r="H721" s="724">
        <f>IF(AND(K717=TRUE,K720=FALSE),H717,IF(AND(K717=FALSE,K720=TRUE),H720,IF(AND(K717=TRUE,K720=TRUE),H717+H720,MAX(H717,H720))))</f>
        <v>0</v>
      </c>
      <c r="I721" s="1354"/>
      <c r="J721" s="725"/>
      <c r="K721" s="726" t="b">
        <f>IF(AND(K717=FALSE,K720=FALSE),FALSE,TRUE)</f>
        <v>0</v>
      </c>
      <c r="L721" s="1338"/>
      <c r="M721" s="1338"/>
      <c r="N721" s="1338"/>
      <c r="O721" s="1355"/>
      <c r="P721" s="1354"/>
      <c r="Q721" s="725"/>
      <c r="R721" s="726" t="b">
        <f>IF(AND(R717=FALSE,R720=FALSE),FALSE,TRUE)</f>
        <v>0</v>
      </c>
      <c r="S721" s="1354"/>
      <c r="T721" s="725"/>
      <c r="U721" s="726" t="b">
        <f>IF(AND(U717=FALSE,U720=FALSE),FALSE,TRUE)</f>
        <v>0</v>
      </c>
      <c r="V721" s="807"/>
      <c r="W721" s="821" t="str">
        <f>IF(K721=TRUE,"V","F")</f>
        <v>F</v>
      </c>
      <c r="X721" s="822"/>
      <c r="Y721" s="821" t="str">
        <f>IF(R721=TRUE,"V","F")</f>
        <v>F</v>
      </c>
      <c r="Z721" s="822"/>
      <c r="AA721" s="821" t="str">
        <f>IF(U721=TRUE,"V","F")</f>
        <v>F</v>
      </c>
      <c r="AB721" s="822"/>
      <c r="AC721" t="str">
        <f>IF(OR(W721="V",Y721="V"),IF(H720&gt;H717,"Le NC contribue plus que le coparent","Le coparent joue un plus grand rôle que le NC"),"pas de contexte significatif de la part du coparent et NC")</f>
        <v>pas de contexte significatif de la part du coparent et NC</v>
      </c>
      <c r="AD721" s="10"/>
      <c r="AE721" s="10"/>
      <c r="AF721" s="10"/>
      <c r="AG721" s="591">
        <f>IF(AND($K717=TRUE,$K720=FALSE),AG717,IF(AND($K717=FALSE,$K720=TRUE),AG720,IF(AND($K717=TRUE,$K720=TRUE),AG717+AG720,0)))</f>
        <v>0</v>
      </c>
      <c r="AH721" s="591">
        <f>IF(AND($R717=TRUE,$R720=FALSE),AH717,IF(AND($R717=FALSE,$R720=TRUE),AH720,IF(AND($R717=TRUE,$R720=TRUE),AH717+AH720,0)))</f>
        <v>0</v>
      </c>
      <c r="AI721" s="591">
        <f>IF(AND($U717=TRUE,$U720=FALSE),AI717,IF(AND($U717=FALSE,$U720=TRUE),AI720,IF(AND($U717=TRUE,$U720=TRUE),AI717+AI720,0)))</f>
        <v>0</v>
      </c>
      <c r="AJ721" s="591">
        <f>IF(AND($K717=TRUE,$K720=FALSE),AJ717,IF(AND($K717=FALSE,$K720=TRUE),AJ720,IF(AND($K717=TRUE,$K720=TRUE),AJ717+AJ720,MAX(AJ717,AJ720))))</f>
        <v>0</v>
      </c>
      <c r="AK721" s="591">
        <f>IF(AND($K717=TRUE,$K720=FALSE),AK717,IF(AND($K717=FALSE,$K720=TRUE),AK720,IF(AND($K717=TRUE,$K720=TRUE),AK717+AK720,MAX(AK717,AK720))))</f>
        <v>0</v>
      </c>
      <c r="AL721" s="591">
        <f t="shared" ref="AL721:AM721" si="1476">IF(AND($R717=TRUE,$R720=FALSE),AL717,IF(AND($R717=FALSE,$R720=TRUE),AL720,IF(AND($R717=TRUE,$R720=TRUE),AL717+AL720,MAX(AL717,AL720))))</f>
        <v>0</v>
      </c>
      <c r="AM721" s="591">
        <f t="shared" si="1476"/>
        <v>0</v>
      </c>
      <c r="AN721" s="591">
        <f t="shared" ref="AN721:AO721" si="1477">IF(AND($U717=TRUE,$U720=FALSE),AN717,IF(AND($U717=FALSE,$U720=TRUE),AN720,IF(AND($U717=TRUE,$U720=TRUE),AN717+AN720,MAX(AN717,AN720))))</f>
        <v>0</v>
      </c>
      <c r="AO721" s="591">
        <f t="shared" si="1477"/>
        <v>0</v>
      </c>
      <c r="AV721" s="7"/>
      <c r="AX721" s="7"/>
      <c r="AY721" s="734"/>
      <c r="AZ721" s="734"/>
      <c r="BA721" s="87"/>
      <c r="BB721" s="442"/>
      <c r="BC721" s="89"/>
      <c r="BD721" s="446"/>
      <c r="BE721" s="446"/>
      <c r="BF721" s="89"/>
      <c r="BG721" s="447"/>
      <c r="BH721" s="447"/>
      <c r="BI721" s="443"/>
      <c r="BN721" s="25"/>
      <c r="BP721" s="7"/>
      <c r="BQ721" s="7"/>
      <c r="BR721" s="7"/>
      <c r="BS721" s="7"/>
      <c r="BT721" s="7"/>
      <c r="BU721" s="7"/>
      <c r="BV721" s="7"/>
      <c r="BW721" s="7"/>
      <c r="BX721" s="7"/>
      <c r="BY721" s="7"/>
      <c r="BZ721" s="7"/>
    </row>
    <row r="722" spans="1:78" ht="34" x14ac:dyDescent="0.2">
      <c r="A722" t="str">
        <f>IF(Test_Bible!B269="","F","O")</f>
        <v>O</v>
      </c>
      <c r="B722" s="2148" t="s">
        <v>1823</v>
      </c>
      <c r="C722" s="287" t="str">
        <f>'Cpts AR +indép + Sommaire'!O102</f>
        <v>E04</v>
      </c>
      <c r="D722" s="25" t="str">
        <f>'Cpts AR +indép + Sommaire'!P102</f>
        <v>Votre enfant défend l'autre parent, quoi que vous fassiez, quoi que vous disiez.</v>
      </c>
      <c r="E722" s="78" t="s">
        <v>1977</v>
      </c>
      <c r="F722" s="709">
        <f>'Cpts AR +indép + Sommaire'!Q102</f>
        <v>0</v>
      </c>
      <c r="G722" s="709">
        <f>'Cpts AR +indép + Sommaire'!R102</f>
        <v>2</v>
      </c>
      <c r="H722" s="709">
        <f>F722*G722</f>
        <v>0</v>
      </c>
      <c r="I722" s="1350">
        <v>2</v>
      </c>
      <c r="J722" s="1343">
        <v>10</v>
      </c>
      <c r="K722" s="31" t="b">
        <f>IF(AND(F722&gt;=I722,F722&lt;=J722),TRUE,FALSE)</f>
        <v>0</v>
      </c>
      <c r="L722" s="31"/>
      <c r="M722" s="31"/>
      <c r="N722" s="31"/>
      <c r="O722" s="1351"/>
      <c r="P722" s="1374">
        <v>11</v>
      </c>
      <c r="Q722" s="1375">
        <v>11</v>
      </c>
      <c r="R722" s="1351" t="b">
        <f>IF(AND(F722&gt;=P722,F722&lt;=Q722),TRUE,FALSE)</f>
        <v>0</v>
      </c>
      <c r="S722" s="1350"/>
      <c r="T722" s="1343"/>
      <c r="U722" s="1351"/>
      <c r="V722" s="1327"/>
      <c r="W722" s="821" t="s">
        <v>753</v>
      </c>
      <c r="X722" s="822"/>
      <c r="Y722" s="821"/>
      <c r="Z722" s="822"/>
      <c r="AA722" s="821"/>
      <c r="AB722" s="822"/>
      <c r="AD722" s="10"/>
      <c r="AE722" s="10"/>
      <c r="AF722" s="10"/>
      <c r="AG722" s="832">
        <f>IF($K722=TRUE,H722,0)</f>
        <v>0</v>
      </c>
      <c r="AH722" s="832">
        <f>IF($R722=TRUE,H722,0)</f>
        <v>0</v>
      </c>
      <c r="AI722" s="832"/>
      <c r="AJ722" s="1490">
        <f t="shared" ref="AJ722:AJ724" si="1478">IF(OR(I722=11,A722="F"),0,G722*I722)</f>
        <v>4</v>
      </c>
      <c r="AK722" s="1490">
        <f t="shared" ref="AK722:AK724" si="1479">IF(OR(J722=11,A722="F"),0,G722*J722)</f>
        <v>20</v>
      </c>
      <c r="AL722" s="1490">
        <f t="shared" ref="AL722:AL724" si="1480">IF(OR(P722=11,A722="F"),0,G722*P722)</f>
        <v>0</v>
      </c>
      <c r="AM722" s="1490">
        <f t="shared" ref="AM722:AM724" si="1481">IF(OR(Q722=11,A722="F"),0,G722*Q722)</f>
        <v>0</v>
      </c>
      <c r="AN722" s="1490">
        <f t="shared" ref="AN722:AN724" si="1482">IF(OR(S722=11,A722="F"),0,S722*G722)</f>
        <v>0</v>
      </c>
      <c r="AO722" s="1490">
        <f t="shared" ref="AO722:AO724" si="1483">IF(OR(T722=11,A722="F"),0,T722*G722)</f>
        <v>0</v>
      </c>
      <c r="AV722" s="7"/>
      <c r="AX722" s="7"/>
      <c r="AY722" s="734"/>
      <c r="AZ722" s="734"/>
      <c r="BA722" s="87"/>
      <c r="BB722" s="442"/>
      <c r="BC722" s="89"/>
      <c r="BD722" s="446"/>
      <c r="BE722" s="446"/>
      <c r="BF722" s="89"/>
      <c r="BG722" s="447"/>
      <c r="BH722" s="447"/>
      <c r="BI722" s="443"/>
      <c r="BN722" s="25"/>
      <c r="BP722" s="7"/>
      <c r="BQ722" s="7"/>
      <c r="BR722" s="7"/>
      <c r="BS722" s="7"/>
      <c r="BT722" s="7"/>
      <c r="BU722" s="7"/>
      <c r="BV722" s="7"/>
      <c r="BW722" s="7"/>
      <c r="BX722" s="7"/>
      <c r="BY722" s="7"/>
      <c r="BZ722" s="7"/>
    </row>
    <row r="723" spans="1:78" ht="51" x14ac:dyDescent="0.2">
      <c r="A723" t="str">
        <f>IF(Test_Bible!B270="","F","O")</f>
        <v>F</v>
      </c>
      <c r="B723" s="2148" t="s">
        <v>1823</v>
      </c>
      <c r="C723" s="287" t="str">
        <f>'Cpts AR +indép + Sommaire'!O103</f>
        <v>E04a</v>
      </c>
      <c r="D723" s="25" t="str">
        <f>'Cpts AR +indép + Sommaire'!P103</f>
        <v>Aux yeux de votre enfant, tout ce que fait l'autre parent est bien, voire parfait, et tout ce que vous faites est mauvais ou sujet à critiques.</v>
      </c>
      <c r="E723" s="78" t="s">
        <v>1978</v>
      </c>
      <c r="F723" s="709">
        <f>'Cpts AR +indép + Sommaire'!Q103</f>
        <v>0</v>
      </c>
      <c r="G723" s="709">
        <f>'Cpts AR +indép + Sommaire'!R103</f>
        <v>3</v>
      </c>
      <c r="H723" s="709">
        <f>F723*G723</f>
        <v>0</v>
      </c>
      <c r="I723" s="1350">
        <v>2</v>
      </c>
      <c r="J723" s="1343">
        <v>10</v>
      </c>
      <c r="K723" s="31" t="b">
        <f t="shared" ref="K723:K724" si="1484">IF(AND(F723&gt;=I723,F723&lt;=J723),TRUE,FALSE)</f>
        <v>0</v>
      </c>
      <c r="L723" s="31"/>
      <c r="M723" s="31"/>
      <c r="N723" s="31"/>
      <c r="O723" s="1351"/>
      <c r="P723" s="1374">
        <v>11</v>
      </c>
      <c r="Q723" s="1375">
        <v>11</v>
      </c>
      <c r="R723" s="1351" t="b">
        <f t="shared" ref="R723:R724" si="1485">IF(AND(F723&gt;=P723,F723&lt;=Q723),TRUE,FALSE)</f>
        <v>0</v>
      </c>
      <c r="S723" s="1350"/>
      <c r="T723" s="1343"/>
      <c r="U723" s="1351"/>
      <c r="V723" s="1327"/>
      <c r="W723" s="821"/>
      <c r="X723" s="822"/>
      <c r="Y723" s="821"/>
      <c r="Z723" s="822"/>
      <c r="AA723" s="821"/>
      <c r="AB723" s="822"/>
      <c r="AD723" s="10"/>
      <c r="AE723" s="10"/>
      <c r="AF723" s="10"/>
      <c r="AG723" s="832">
        <f>IF($K723=TRUE,H723,0)</f>
        <v>0</v>
      </c>
      <c r="AH723" s="832">
        <f>IF($R723=TRUE,H723,0)</f>
        <v>0</v>
      </c>
      <c r="AI723" s="832"/>
      <c r="AJ723" s="1490">
        <f t="shared" si="1478"/>
        <v>0</v>
      </c>
      <c r="AK723" s="1490">
        <f t="shared" si="1479"/>
        <v>0</v>
      </c>
      <c r="AL723" s="1490">
        <f t="shared" si="1480"/>
        <v>0</v>
      </c>
      <c r="AM723" s="1490">
        <f t="shared" si="1481"/>
        <v>0</v>
      </c>
      <c r="AN723" s="1490">
        <f t="shared" si="1482"/>
        <v>0</v>
      </c>
      <c r="AO723" s="1490">
        <f t="shared" si="1483"/>
        <v>0</v>
      </c>
      <c r="AV723" s="7"/>
      <c r="AX723" s="7"/>
      <c r="AY723" s="734"/>
      <c r="AZ723" s="734"/>
      <c r="BA723" s="87"/>
      <c r="BB723" s="442"/>
      <c r="BC723" s="89"/>
      <c r="BD723" s="446"/>
      <c r="BE723" s="446"/>
      <c r="BF723" s="89"/>
      <c r="BG723" s="447"/>
      <c r="BH723" s="447"/>
      <c r="BI723" s="443"/>
      <c r="BN723" s="25"/>
      <c r="BP723" s="7"/>
      <c r="BQ723" s="7"/>
      <c r="BR723" s="7"/>
      <c r="BS723" s="7"/>
      <c r="BT723" s="7"/>
      <c r="BU723" s="7"/>
      <c r="BV723" s="7"/>
      <c r="BW723" s="7"/>
      <c r="BX723" s="7"/>
      <c r="BY723" s="7"/>
      <c r="BZ723" s="7"/>
    </row>
    <row r="724" spans="1:78" ht="35" thickBot="1" x14ac:dyDescent="0.25">
      <c r="A724" t="str">
        <f>IF(Test_Bible!B271="","F","O")</f>
        <v>F</v>
      </c>
      <c r="B724" s="2148" t="s">
        <v>1823</v>
      </c>
      <c r="C724" s="287" t="str">
        <f>'Cpts AR +indép + Sommaire'!O104</f>
        <v>E04a1</v>
      </c>
      <c r="D724" s="25" t="str">
        <f>'Cpts AR +indép + Sommaire'!P104</f>
        <v>Votre enfant calque les désirs et les paroles de l’autre parent.</v>
      </c>
      <c r="E724" s="78" t="s">
        <v>1979</v>
      </c>
      <c r="F724" s="709">
        <f>'Cpts AR +indép + Sommaire'!Q104</f>
        <v>0</v>
      </c>
      <c r="G724" s="709">
        <f>'Cpts AR +indép + Sommaire'!R104</f>
        <v>3</v>
      </c>
      <c r="H724" s="709">
        <f>F724*G724</f>
        <v>0</v>
      </c>
      <c r="I724" s="1350">
        <v>2</v>
      </c>
      <c r="J724" s="1343">
        <v>10</v>
      </c>
      <c r="K724" s="31" t="b">
        <f t="shared" si="1484"/>
        <v>0</v>
      </c>
      <c r="L724" s="31"/>
      <c r="M724" s="31"/>
      <c r="N724" s="31"/>
      <c r="O724" s="1351"/>
      <c r="P724" s="1374">
        <v>11</v>
      </c>
      <c r="Q724" s="1375">
        <v>11</v>
      </c>
      <c r="R724" s="1351" t="b">
        <f t="shared" si="1485"/>
        <v>0</v>
      </c>
      <c r="S724" s="1374"/>
      <c r="T724" s="1375"/>
      <c r="U724" s="1351"/>
      <c r="V724" s="807"/>
      <c r="W724" s="821"/>
      <c r="X724" s="822"/>
      <c r="Y724" s="821"/>
      <c r="Z724" s="822"/>
      <c r="AA724" s="821"/>
      <c r="AB724" s="822"/>
      <c r="AD724" s="10"/>
      <c r="AE724" s="10"/>
      <c r="AF724" s="10"/>
      <c r="AG724" s="832">
        <f>IF($K724=TRUE,H724,0)</f>
        <v>0</v>
      </c>
      <c r="AH724" s="832">
        <f>IF($R724=TRUE,H724,0)</f>
        <v>0</v>
      </c>
      <c r="AI724" s="832"/>
      <c r="AJ724" s="1490">
        <f t="shared" si="1478"/>
        <v>0</v>
      </c>
      <c r="AK724" s="1490">
        <f t="shared" si="1479"/>
        <v>0</v>
      </c>
      <c r="AL724" s="1490">
        <f t="shared" si="1480"/>
        <v>0</v>
      </c>
      <c r="AM724" s="1490">
        <f t="shared" si="1481"/>
        <v>0</v>
      </c>
      <c r="AN724" s="1490">
        <f t="shared" si="1482"/>
        <v>0</v>
      </c>
      <c r="AO724" s="1490">
        <f t="shared" si="1483"/>
        <v>0</v>
      </c>
      <c r="AV724" s="7"/>
      <c r="AX724" s="7"/>
      <c r="AY724" s="734"/>
      <c r="AZ724" s="734"/>
      <c r="BA724" s="87"/>
      <c r="BB724" s="442"/>
      <c r="BC724" s="89"/>
      <c r="BD724" s="446"/>
      <c r="BE724" s="446"/>
      <c r="BF724" s="89"/>
      <c r="BG724" s="447"/>
      <c r="BH724" s="447"/>
      <c r="BI724" s="443"/>
      <c r="BN724" s="25"/>
      <c r="BP724" s="7"/>
      <c r="BQ724" s="7"/>
      <c r="BR724" s="7"/>
      <c r="BS724" s="7"/>
      <c r="BT724" s="7"/>
      <c r="BU724" s="7"/>
      <c r="BV724" s="7"/>
      <c r="BW724" s="7"/>
      <c r="BX724" s="7"/>
      <c r="BY724" s="7"/>
      <c r="BZ724" s="7"/>
    </row>
    <row r="725" spans="1:78" ht="35" thickBot="1" x14ac:dyDescent="0.25">
      <c r="B725" s="1700"/>
      <c r="C725" s="727" t="s">
        <v>611</v>
      </c>
      <c r="D725" s="728" t="str">
        <f>_xlfn.XLOOKUP(H725,H722:H724,D722:D724)</f>
        <v>Votre enfant défend l'autre parent, quoi que vous fassiez, quoi que vous disiez.</v>
      </c>
      <c r="E725" s="728" t="str">
        <f>_xlfn.XLOOKUP(H725,H722:H724,E722:E724)</f>
        <v>défend le coparent quoi que vous disiez</v>
      </c>
      <c r="F725" s="729"/>
      <c r="G725" s="729"/>
      <c r="H725" s="729">
        <f>IF(AND(K722=TRUE,K723=FALSE,K724=FALSE),H722,IF(AND(K722=FALSE,K723=TRUE,K724=FALSE),H723,IF(AND(K722=FALSE,K723=FALSE,K724=TRUE),H724,MAX(H722:H724))))</f>
        <v>0</v>
      </c>
      <c r="I725" s="1356"/>
      <c r="J725" s="730"/>
      <c r="K725" s="731" t="b">
        <f>IF(AND(K722=FALSE,K723=FALSE,K724=FALSE),FALSE,TRUE)</f>
        <v>0</v>
      </c>
      <c r="L725" s="1339"/>
      <c r="M725" s="1339"/>
      <c r="N725" s="1339"/>
      <c r="O725" s="1357"/>
      <c r="P725" s="1356"/>
      <c r="Q725" s="730"/>
      <c r="R725" s="731" t="b">
        <f>IF(AND(R722=FALSE,R723=FALSE,R724=FALSE),FALSE,TRUE)</f>
        <v>0</v>
      </c>
      <c r="S725" s="1356"/>
      <c r="T725" s="730"/>
      <c r="U725" s="731"/>
      <c r="V725" s="807"/>
      <c r="W725" s="821" t="str">
        <f>IF(K725=TRUE,"V","F")</f>
        <v>F</v>
      </c>
      <c r="X725" s="822"/>
      <c r="Y725" s="821" t="str">
        <f>IF(R725=TRUE,"V","F")</f>
        <v>F</v>
      </c>
      <c r="Z725" s="822"/>
      <c r="AA725" s="821"/>
      <c r="AB725" s="822"/>
      <c r="AD725" s="10"/>
      <c r="AE725" s="10"/>
      <c r="AF725" s="10"/>
      <c r="AG725" s="1742">
        <f>IF(AND($K723=TRUE,$K724=FALSE),AG723,IF(AND($K723=FALSE,$K724=TRUE),AG724,IF(AND($K723=TRUE,$K724=TRUE),MAX(AG723,AG724),0)))</f>
        <v>0</v>
      </c>
      <c r="AH725" s="1742">
        <f>IF(AND($R723=TRUE,$R724=FALSE),AH723,IF(AND($R723=FALSE,$R724=TRUE),AH724,IF(AND($R723=TRUE,$R724=TRUE),MAX(AH723,AH724),0)))</f>
        <v>0</v>
      </c>
      <c r="AI725" s="1742"/>
      <c r="AJ725" s="1742">
        <f>IF(AND($K723=TRUE,$K724=FALSE),AJ723,IF(AND($K723=FALSE,$K724=TRUE),AJ724,IF(AND($K723=TRUE,$K724=TRUE),MAX(AJ723,AJ724),0)))</f>
        <v>0</v>
      </c>
      <c r="AK725" s="1742">
        <f>IF(AND($K723=TRUE,$K724=FALSE),AK723,IF(AND($K723=FALSE,$K724=TRUE),AK724,IF(AND($K723=TRUE,$K724=TRUE),MAX(AK723,AK724),0)))</f>
        <v>0</v>
      </c>
      <c r="AL725" s="1742">
        <f t="shared" ref="AL725:AM725" si="1486">IF(AND($R723=TRUE,$R724=FALSE),AL723,IF(AND($R723=FALSE,$R724=TRUE),AL724,IF(AND($R723=TRUE,$R724=TRUE),MAX(AL723,AL724),0)))</f>
        <v>0</v>
      </c>
      <c r="AM725" s="1742">
        <f t="shared" si="1486"/>
        <v>0</v>
      </c>
      <c r="AN725" s="1742"/>
      <c r="AO725" s="1742"/>
    </row>
    <row r="726" spans="1:78" ht="17" x14ac:dyDescent="0.2">
      <c r="B726" s="1700"/>
      <c r="D726" s="386" t="s">
        <v>273</v>
      </c>
      <c r="E726" s="705"/>
      <c r="F726" s="439" t="s">
        <v>349</v>
      </c>
      <c r="G726" s="33"/>
      <c r="H726" s="33">
        <f>IF(AND(K721=TRUE,K725=FALSE),H721,IF(AND(K721=FALSE,K725=TRUE),H725,IF(AND(K721=TRUE,K725=TRUE),H721+H725,MAX(H721,H725))))</f>
        <v>0</v>
      </c>
      <c r="I726" s="1358"/>
      <c r="J726" s="440"/>
      <c r="K726" s="1341"/>
      <c r="L726" s="1342"/>
      <c r="M726" s="1342"/>
      <c r="N726" s="1342" t="str">
        <f>IF(AND(K721=FALSE,K725=TRUE),E725,"")</f>
        <v/>
      </c>
      <c r="O726" s="1359"/>
      <c r="P726" s="1358"/>
      <c r="Q726" s="440"/>
      <c r="R726" s="1367"/>
      <c r="S726" s="1358"/>
      <c r="T726" s="440"/>
      <c r="U726" s="1367"/>
      <c r="V726" s="807"/>
      <c r="W726" s="823"/>
      <c r="X726" s="824">
        <f>IF(AND(W721="V",W725="V"),2,IF(OR(W721="V",W725="V"),1,0))</f>
        <v>0</v>
      </c>
      <c r="Y726" s="823"/>
      <c r="Z726" s="824">
        <f>IF(OR(Y721="V",Y725="V"),1,0)</f>
        <v>0</v>
      </c>
      <c r="AA726" s="823"/>
      <c r="AB726" s="824"/>
      <c r="AD726" s="10"/>
      <c r="AE726" s="10"/>
      <c r="AF726" s="10"/>
      <c r="AG726" s="1738">
        <f>IF(AND($W721="V",$W725="F"),AG721,IF(AND($W721="F",$W725="V"),AG725,IF(AND($W721="V",$W725="V"),AG721+AG725,0)))</f>
        <v>0</v>
      </c>
      <c r="AH726" s="1738">
        <f>IF(AND($Y721="V",$Y725="F"),AH721,IF(AND($Y721="F",$Y725="V"),AH725,IF(AND($Y721="V",$Y725="V"),AH721+AH725,0)))</f>
        <v>0</v>
      </c>
      <c r="AI726" s="1738"/>
      <c r="AJ726" s="1738">
        <f>IF(AND($W721="V",$W725="F"),AJ722,IF(AND($W721="F",$W725="V"),AJ725,IF(AND($W721="V",$W725="V"),AJ722+AJ725,0)))</f>
        <v>0</v>
      </c>
      <c r="AK726" s="1738">
        <f>IF(AND($W721="V",$W725="F"),AK722,IF(AND($W721="F",$W725="V"),AK725,IF(AND($W721="V",$W725="V"),AK722+AK725,0)))</f>
        <v>0</v>
      </c>
      <c r="AL726" s="1738">
        <f>IF(AND($Y721="V",$Y725="F"),AL722,IF(AND($Y721="F",$Y725="V"),AL725,IF(AND($Y721="V",$Y725="V"),AL722+AL725,0)))</f>
        <v>0</v>
      </c>
      <c r="AM726" s="1738">
        <f>IF(AND($Y721="V",$Y725="F"),AM722,IF(AND($Y721="F",$Y725="V"),AM725,IF(AND($Y721="V",$Y725="V"),AM722+AM725,0)))</f>
        <v>0</v>
      </c>
      <c r="AN726" s="1738"/>
      <c r="AO726" s="1738"/>
    </row>
    <row r="727" spans="1:78" ht="16" x14ac:dyDescent="0.2">
      <c r="B727" s="1700"/>
      <c r="C727" t="s">
        <v>238</v>
      </c>
      <c r="I727" s="122"/>
      <c r="L727" s="32"/>
      <c r="M727" s="32"/>
      <c r="N727" s="32"/>
      <c r="O727" s="1379"/>
      <c r="P727" s="122"/>
      <c r="R727" s="292"/>
      <c r="S727" s="122"/>
      <c r="U727" s="292"/>
      <c r="V727" s="145"/>
      <c r="W727" s="821"/>
      <c r="X727" s="822"/>
      <c r="Y727" s="821"/>
      <c r="Z727" s="822"/>
      <c r="AA727" s="821"/>
      <c r="AB727" s="822"/>
      <c r="AD727" s="10"/>
      <c r="AE727" s="10"/>
      <c r="AF727" s="10"/>
      <c r="AG727" s="832"/>
      <c r="AH727" s="832"/>
      <c r="AI727" s="832"/>
      <c r="AJ727" s="1490"/>
      <c r="AK727" s="1490"/>
      <c r="AL727" s="1490"/>
      <c r="AM727" s="1490"/>
      <c r="AN727" s="1490"/>
      <c r="AO727" s="1490"/>
    </row>
    <row r="728" spans="1:78" ht="16" x14ac:dyDescent="0.2">
      <c r="B728" s="1700">
        <f>'Cpts AR +indép + Sommaire'!Y245</f>
        <v>0</v>
      </c>
      <c r="C728" s="825">
        <f>'Cpts AR +indép + Sommaire'!U245</f>
        <v>0</v>
      </c>
      <c r="D728" s="836">
        <f>'Cpts AR +indép + Sommaire'!V245</f>
        <v>0</v>
      </c>
      <c r="E728" s="826"/>
      <c r="F728" s="830">
        <f>'Cpts AR +indép + Sommaire'!W245</f>
        <v>0</v>
      </c>
      <c r="G728" s="830">
        <f>'Cpts AR +indép + Sommaire'!X245</f>
        <v>0</v>
      </c>
      <c r="H728" s="830">
        <f>F728*G728</f>
        <v>0</v>
      </c>
      <c r="I728" s="1374">
        <v>11</v>
      </c>
      <c r="J728" s="1375">
        <v>11</v>
      </c>
      <c r="K728" s="31" t="b">
        <f>IF(AND(F728&gt;=I728,F728&lt;=J728),TRUE,FALSE)</f>
        <v>0</v>
      </c>
      <c r="L728" s="26"/>
      <c r="M728" s="26"/>
      <c r="N728" s="26"/>
      <c r="O728" s="1360"/>
      <c r="P728" s="1374">
        <v>11</v>
      </c>
      <c r="Q728" s="1375">
        <v>11</v>
      </c>
      <c r="R728" s="1351" t="b">
        <f>IF(AND(F728&gt;=P728,F728&lt;=Q728),TRUE,FALSE)</f>
        <v>0</v>
      </c>
      <c r="S728" s="1374">
        <v>11</v>
      </c>
      <c r="T728" s="1375">
        <v>11</v>
      </c>
      <c r="U728" s="1351" t="b">
        <f>IF(AND(F728&gt;=S728,F728&lt;=T728),TRUE,FALSE)</f>
        <v>0</v>
      </c>
      <c r="V728" s="32"/>
      <c r="W728" s="821"/>
      <c r="X728" s="822"/>
      <c r="Y728" s="821"/>
      <c r="Z728" s="822"/>
      <c r="AA728" s="821"/>
      <c r="AB728" s="822"/>
      <c r="AD728" s="10"/>
      <c r="AE728" s="10"/>
      <c r="AF728" s="10"/>
      <c r="AG728" s="832">
        <f>IF($K728=TRUE,H728,0)</f>
        <v>0</v>
      </c>
      <c r="AH728" s="832">
        <f>IF($R728=TRUE,H728,0)</f>
        <v>0</v>
      </c>
      <c r="AI728" s="832">
        <f>IF($U728=TRUE,H728,0)</f>
        <v>0</v>
      </c>
      <c r="AJ728" s="1490">
        <f t="shared" ref="AJ728:AJ729" si="1487">IF(OR(I728=11,A728="F"),0,G728*I728)</f>
        <v>0</v>
      </c>
      <c r="AK728" s="1490">
        <f t="shared" ref="AK728:AK729" si="1488">IF(OR(J728=11,A728="F"),0,G728*J728)</f>
        <v>0</v>
      </c>
      <c r="AL728" s="1490">
        <f t="shared" ref="AL728:AL729" si="1489">IF(OR(P728=11,A728="F"),0,G728*P728)</f>
        <v>0</v>
      </c>
      <c r="AM728" s="1490">
        <f t="shared" ref="AM728:AM729" si="1490">IF(OR(Q728=11,A728="F"),0,G728*Q728)</f>
        <v>0</v>
      </c>
      <c r="AN728" s="1490">
        <f t="shared" ref="AN728:AN729" si="1491">IF(OR(S728=11,A728="F"),0,S728*G728)</f>
        <v>0</v>
      </c>
      <c r="AO728" s="1490">
        <f t="shared" ref="AO728:AO729" si="1492">IF(OR(T728=11,A728="F"),0,T728*G728)</f>
        <v>0</v>
      </c>
    </row>
    <row r="729" spans="1:78" ht="17" thickBot="1" x14ac:dyDescent="0.25">
      <c r="B729" s="1700">
        <f>'Cpts AR +indép + Sommaire'!Y246</f>
        <v>0</v>
      </c>
      <c r="C729" s="21">
        <f>'Cpts AR +indép + Sommaire'!U246</f>
        <v>0</v>
      </c>
      <c r="D729" s="698">
        <f>'Cpts AR +indép + Sommaire'!V246</f>
        <v>0</v>
      </c>
      <c r="E729" s="274"/>
      <c r="F729" s="1392">
        <f>'Cpts AR +indép + Sommaire'!W246</f>
        <v>0</v>
      </c>
      <c r="G729" s="1392">
        <f>'Cpts AR +indép + Sommaire'!X246</f>
        <v>0</v>
      </c>
      <c r="H729" s="830">
        <f>F729*G729</f>
        <v>0</v>
      </c>
      <c r="I729" s="1374">
        <v>11</v>
      </c>
      <c r="J729" s="1375">
        <v>11</v>
      </c>
      <c r="K729" s="31" t="b">
        <f>IF(AND(F729&gt;=I729,F729&lt;=J729),TRUE,FALSE)</f>
        <v>0</v>
      </c>
      <c r="L729" s="26"/>
      <c r="M729" s="26"/>
      <c r="N729" s="26"/>
      <c r="O729" s="1360"/>
      <c r="P729" s="1374">
        <v>11</v>
      </c>
      <c r="Q729" s="1375">
        <v>11</v>
      </c>
      <c r="R729" s="1351" t="b">
        <f>IF(AND(F729&gt;=P729,F729&lt;=Q729),TRUE,FALSE)</f>
        <v>0</v>
      </c>
      <c r="S729" s="1374">
        <v>11</v>
      </c>
      <c r="T729" s="1375">
        <v>11</v>
      </c>
      <c r="U729" s="1351" t="b">
        <f>IF(AND(F729&gt;=S729,F729&lt;=T729),TRUE,FALSE)</f>
        <v>0</v>
      </c>
      <c r="V729" s="32"/>
      <c r="W729" s="821"/>
      <c r="X729" s="822"/>
      <c r="Y729" s="821"/>
      <c r="Z729" s="822"/>
      <c r="AA729" s="821"/>
      <c r="AB729" s="822"/>
      <c r="AD729" s="10"/>
      <c r="AE729" s="10"/>
      <c r="AF729" s="10"/>
      <c r="AG729" s="832">
        <f>IF($K729=TRUE,H729,0)</f>
        <v>0</v>
      </c>
      <c r="AH729" s="832">
        <f>IF($R729=TRUE,H729,0)</f>
        <v>0</v>
      </c>
      <c r="AI729" s="832">
        <f>IF($U729=TRUE,H729,0)</f>
        <v>0</v>
      </c>
      <c r="AJ729" s="1490">
        <f t="shared" si="1487"/>
        <v>0</v>
      </c>
      <c r="AK729" s="1490">
        <f t="shared" si="1488"/>
        <v>0</v>
      </c>
      <c r="AL729" s="1490">
        <f t="shared" si="1489"/>
        <v>0</v>
      </c>
      <c r="AM729" s="1490">
        <f t="shared" si="1490"/>
        <v>0</v>
      </c>
      <c r="AN729" s="1490">
        <f t="shared" si="1491"/>
        <v>0</v>
      </c>
      <c r="AO729" s="1490">
        <f t="shared" si="1492"/>
        <v>0</v>
      </c>
    </row>
    <row r="730" spans="1:78" ht="27" thickBot="1" x14ac:dyDescent="0.35">
      <c r="H730" s="33">
        <f>IF(AND(K728=TRUE,K729=FALSE),H728,IF(AND(K728=FALSE,K729=TRUE),H729,MAX(H728,H729)))</f>
        <v>0</v>
      </c>
      <c r="I730" s="1371"/>
      <c r="J730" s="1372"/>
      <c r="K730" s="1378" t="b">
        <f>IF(AND(K728=FALSE,K729=FALSE),FALSE,TRUE)</f>
        <v>0</v>
      </c>
      <c r="L730" s="1361"/>
      <c r="M730" s="1362"/>
      <c r="N730" s="1362"/>
      <c r="O730" s="1363"/>
      <c r="P730" s="1371"/>
      <c r="Q730" s="1372"/>
      <c r="R730" s="1378" t="b">
        <f>IF(AND(R728=FALSE,R729=FALSE),FALSE,TRUE)</f>
        <v>0</v>
      </c>
      <c r="S730" s="1383"/>
      <c r="T730" s="1384"/>
      <c r="U730" s="1385" t="b">
        <f>IF(AND(U728=FALSE,U729=FALSE),FALSE,TRUE)</f>
        <v>0</v>
      </c>
      <c r="W730" s="1315" t="str">
        <f>IF(K730=TRUE,"V","F")</f>
        <v>F</v>
      </c>
      <c r="X730" s="1316"/>
      <c r="Y730" s="1315" t="str">
        <f>IF(R730=TRUE,"V","F")</f>
        <v>F</v>
      </c>
      <c r="Z730" s="1316"/>
      <c r="AA730" s="1315" t="str">
        <f>IF(U730=TRUE,"V","F")</f>
        <v>F</v>
      </c>
      <c r="AB730" s="1316"/>
      <c r="AD730" s="10"/>
      <c r="AE730" s="10"/>
      <c r="AF730" s="10"/>
      <c r="AG730" s="1742">
        <f>IF(AND($K728=TRUE,$K729=FALSE),AG728,IF(AND($K728=FALSE,$K729=TRUE),AG729,MAX(AG728,AG729)))</f>
        <v>0</v>
      </c>
      <c r="AH730" s="1742">
        <f>IF(AND($R728=TRUE,$R729=FALSE),AH728,IF(AND($R728=FALSE,$R729=TRUE),AH729,MAX(AH728,AH729)))</f>
        <v>0</v>
      </c>
      <c r="AI730" s="1742">
        <f>IF(AND($U728=TRUE,$U729=FALSE),AI728,IF(AND($U728=FALSE,$U729=TRUE),AI729,MAX(AI728,AI729)))</f>
        <v>0</v>
      </c>
      <c r="AJ730" s="1742">
        <f>IF(AND($K728=TRUE,$K729=FALSE),AJ728,IF(AND($K728=FALSE,$K729=TRUE),AJ729,MAX(AJ728,AJ729)))</f>
        <v>0</v>
      </c>
      <c r="AK730" s="1742">
        <f>IF(AND($K728=TRUE,$K729=FALSE),AK728,IF(AND($K728=FALSE,$K729=TRUE),AK729,MAX(AK728,AK729)))</f>
        <v>0</v>
      </c>
      <c r="AL730" s="1742">
        <f>IF(AND($R728=TRUE,$R729=FALSE),AL728,IF(AND($R728=FALSE,$R729=TRUE),AL729,MAX(AL728,AL729)))</f>
        <v>0</v>
      </c>
      <c r="AM730" s="1742">
        <f>IF(AND($R728=TRUE,$R729=FALSE),AM728,IF(AND($R728=FALSE,$R729=TRUE),AM729,MAX(AM728,AM729)))</f>
        <v>0</v>
      </c>
      <c r="AN730" s="1742">
        <f>IF(AND($U728=TRUE,$U729=FALSE),AN728,IF(AND($U728=FALSE,$U729=TRUE),AN729,MAX(AN728,AN729)))</f>
        <v>0</v>
      </c>
      <c r="AO730" s="1742">
        <f>IF(AND($U728=TRUE,$U729=FALSE),AO728,IF(AND($U728=FALSE,$U729=TRUE),AO729,MAX(AO728,AO729)))</f>
        <v>0</v>
      </c>
    </row>
    <row r="731" spans="1:78" ht="21" x14ac:dyDescent="0.25">
      <c r="B731" s="1700"/>
      <c r="W731" s="1376"/>
      <c r="X731" s="1377">
        <f>IF(AND(W730="V",W721="V"),X726-1,X726)</f>
        <v>0</v>
      </c>
      <c r="Y731" s="1376"/>
      <c r="Z731" s="1377">
        <f>IF(OR(Y721="V",Y725="V",Y730="V"),1,0)</f>
        <v>0</v>
      </c>
      <c r="AA731" s="1376"/>
      <c r="AB731" s="1377">
        <f>IF(AA721="V",1,IF(AA730="V",1,0))</f>
        <v>0</v>
      </c>
      <c r="AD731" s="10">
        <f>X731</f>
        <v>0</v>
      </c>
      <c r="AE731" s="10">
        <f>Z731</f>
        <v>0</v>
      </c>
      <c r="AF731" s="10">
        <f>AB731</f>
        <v>0</v>
      </c>
      <c r="AG731" s="1741">
        <f>IF($W730="F",AG726,AG726+AG730)</f>
        <v>0</v>
      </c>
      <c r="AH731" s="1741">
        <f>IF($Y730="F",AH726,AH726+AH730)</f>
        <v>0</v>
      </c>
      <c r="AI731" s="1741">
        <f>IF(AND($AA722="V",$AA730="F"),AI722,IF(AND($AA722="F",$AA730="V"),AI730,IF(AND($AA722="V",$AA730="V"),AI722+AI730,0)))</f>
        <v>0</v>
      </c>
      <c r="AJ731" s="1741">
        <f>IF($W730="F",AJ726,AJ726+AJ730)</f>
        <v>0</v>
      </c>
      <c r="AK731" s="1741">
        <f>IF($W730="F",AK726,AK726+AK730)</f>
        <v>0</v>
      </c>
      <c r="AL731" s="1741">
        <f t="shared" ref="AL731:AM731" si="1493">IF($Y730="F",AL726,AL726+AL730)</f>
        <v>0</v>
      </c>
      <c r="AM731" s="1741">
        <f t="shared" si="1493"/>
        <v>0</v>
      </c>
      <c r="AN731" s="1741">
        <f t="shared" ref="AN731:AO731" si="1494">IF(AND($AA722="V",$AA730="F"),AN722,IF(AND($AA722="F",$AA730="V"),AN730,IF(AND($AA722="V",$AA730="V"),AN722+AN730,0)))</f>
        <v>0</v>
      </c>
      <c r="AO731" s="1741">
        <f t="shared" si="1494"/>
        <v>0</v>
      </c>
    </row>
    <row r="732" spans="1:78" ht="21" x14ac:dyDescent="0.25">
      <c r="B732" s="1700"/>
      <c r="W732" s="2034"/>
      <c r="X732" s="2034"/>
      <c r="Y732" s="2034"/>
      <c r="Z732" s="2034"/>
      <c r="AA732" s="2034"/>
      <c r="AB732" s="2034"/>
      <c r="AG732" s="5"/>
      <c r="AH732" s="5"/>
      <c r="AI732" s="5"/>
    </row>
    <row r="733" spans="1:78" x14ac:dyDescent="0.3">
      <c r="B733" s="1699">
        <v>29</v>
      </c>
      <c r="D733" s="441" t="str">
        <f>'Cpts AR +indép + Sommaire'!B106</f>
        <v>Propos d'adulte</v>
      </c>
      <c r="E733" s="84"/>
      <c r="F733" s="50"/>
      <c r="G733" s="18"/>
      <c r="H733" s="18"/>
      <c r="I733" s="2595" t="s">
        <v>604</v>
      </c>
      <c r="J733" s="2596"/>
      <c r="K733" s="2596"/>
      <c r="L733" s="2597" t="s">
        <v>1086</v>
      </c>
      <c r="M733" s="2597"/>
      <c r="N733" s="2597"/>
      <c r="O733" s="2598"/>
      <c r="P733" s="2599" t="s">
        <v>603</v>
      </c>
      <c r="Q733" s="2600"/>
      <c r="R733" s="2601"/>
      <c r="S733" s="2590" t="s">
        <v>605</v>
      </c>
      <c r="T733" s="2591"/>
      <c r="U733" s="2592"/>
      <c r="V733" s="15"/>
      <c r="W733" s="817"/>
      <c r="X733" s="817"/>
      <c r="Y733" s="817"/>
      <c r="Z733" s="817"/>
      <c r="AA733" s="817"/>
      <c r="AB733" s="818"/>
      <c r="AD733" s="10"/>
      <c r="AE733" s="10"/>
      <c r="AF733" s="10"/>
      <c r="AG733" s="1386" t="s">
        <v>604</v>
      </c>
      <c r="AH733" s="1386" t="s">
        <v>603</v>
      </c>
      <c r="AI733" s="1386" t="s">
        <v>605</v>
      </c>
      <c r="AJ733" s="2589" t="s">
        <v>604</v>
      </c>
      <c r="AK733" s="2589"/>
      <c r="AL733" s="2589" t="s">
        <v>603</v>
      </c>
      <c r="AM733" s="2589"/>
      <c r="AN733" s="2589" t="s">
        <v>605</v>
      </c>
      <c r="AO733" s="2589"/>
      <c r="AY733" s="734"/>
      <c r="AZ733" s="734"/>
      <c r="BA733" s="87"/>
      <c r="BB733" s="442"/>
      <c r="BC733" s="89"/>
      <c r="BD733" s="446"/>
      <c r="BE733" s="446"/>
      <c r="BF733" s="89"/>
      <c r="BG733" s="447"/>
      <c r="BH733" s="447"/>
      <c r="BI733" s="443"/>
    </row>
    <row r="734" spans="1:78" ht="34" x14ac:dyDescent="0.2">
      <c r="B734" s="1700"/>
      <c r="D734" s="79" t="s">
        <v>779</v>
      </c>
      <c r="E734" s="835" t="s">
        <v>778</v>
      </c>
      <c r="F734" s="26" t="s">
        <v>226</v>
      </c>
      <c r="G734" s="26" t="s">
        <v>22</v>
      </c>
      <c r="H734" s="26" t="s">
        <v>612</v>
      </c>
      <c r="I734" s="1348" t="s">
        <v>269</v>
      </c>
      <c r="J734" s="29" t="s">
        <v>270</v>
      </c>
      <c r="K734" s="29" t="s">
        <v>271</v>
      </c>
      <c r="L734" s="29" t="s">
        <v>363</v>
      </c>
      <c r="M734" s="29" t="s">
        <v>339</v>
      </c>
      <c r="N734" s="29" t="s">
        <v>340</v>
      </c>
      <c r="O734" s="1349" t="s">
        <v>341</v>
      </c>
      <c r="P734" s="1348" t="s">
        <v>269</v>
      </c>
      <c r="Q734" s="29" t="s">
        <v>270</v>
      </c>
      <c r="R734" s="1349" t="s">
        <v>271</v>
      </c>
      <c r="S734" s="1348" t="s">
        <v>269</v>
      </c>
      <c r="T734" s="29" t="s">
        <v>270</v>
      </c>
      <c r="U734" s="1349" t="s">
        <v>271</v>
      </c>
      <c r="V734" s="736"/>
      <c r="W734" s="827" t="s">
        <v>604</v>
      </c>
      <c r="X734" s="828" t="s">
        <v>754</v>
      </c>
      <c r="Y734" s="827" t="s">
        <v>603</v>
      </c>
      <c r="Z734" s="828" t="s">
        <v>755</v>
      </c>
      <c r="AA734" s="827" t="s">
        <v>605</v>
      </c>
      <c r="AB734" s="828" t="s">
        <v>756</v>
      </c>
      <c r="AD734" s="10"/>
      <c r="AE734" s="10"/>
      <c r="AF734" s="10"/>
      <c r="AG734" s="10"/>
      <c r="AH734" s="10"/>
      <c r="AI734" s="10"/>
      <c r="AJ734" s="1490" t="s">
        <v>1058</v>
      </c>
      <c r="AK734" s="1490" t="s">
        <v>1059</v>
      </c>
      <c r="AL734" s="1490" t="s">
        <v>1058</v>
      </c>
      <c r="AM734" s="1490" t="s">
        <v>1059</v>
      </c>
      <c r="AN734" s="1490" t="s">
        <v>1058</v>
      </c>
      <c r="AO734" s="1490" t="s">
        <v>1059</v>
      </c>
      <c r="AY734" s="734"/>
      <c r="AZ734" s="734"/>
      <c r="BA734" s="87"/>
      <c r="BB734" s="442"/>
      <c r="BC734" s="89"/>
      <c r="BD734" s="446"/>
      <c r="BE734" s="446"/>
      <c r="BF734" s="89"/>
      <c r="BG734" s="447"/>
      <c r="BH734" s="447"/>
      <c r="BI734" s="443"/>
    </row>
    <row r="735" spans="1:78" ht="19" x14ac:dyDescent="0.2">
      <c r="B735" s="1700">
        <f>'Cpts AR +indép + Sommaire'!G314</f>
        <v>0</v>
      </c>
      <c r="C735" s="379">
        <f>'Cpts AR +indép + Sommaire'!C314</f>
        <v>0</v>
      </c>
      <c r="D735" s="25">
        <f>'Cpts AR +indép + Sommaire'!D314</f>
        <v>0</v>
      </c>
      <c r="E735" s="78"/>
      <c r="F735" s="709">
        <f>'Cpts AR +indép + Sommaire'!E314</f>
        <v>0</v>
      </c>
      <c r="G735" s="709">
        <f>'Cpts AR +indép + Sommaire'!F314</f>
        <v>0</v>
      </c>
      <c r="H735" s="709">
        <f>F735*G735</f>
        <v>0</v>
      </c>
      <c r="I735" s="1374">
        <v>11</v>
      </c>
      <c r="J735" s="1375">
        <v>11</v>
      </c>
      <c r="K735" s="31" t="b">
        <f>IF(AND(F735&gt;=I735,F735&lt;=J735),TRUE,FALSE)</f>
        <v>0</v>
      </c>
      <c r="L735" s="31"/>
      <c r="M735" s="31"/>
      <c r="N735" s="31"/>
      <c r="O735" s="1351"/>
      <c r="P735" s="1374">
        <v>11</v>
      </c>
      <c r="Q735" s="1375">
        <v>11</v>
      </c>
      <c r="R735" s="1351" t="b">
        <f>IF(AND(F735&gt;=P735,F735&lt;=Q735),TRUE,FALSE)</f>
        <v>0</v>
      </c>
      <c r="S735" s="1374">
        <v>11</v>
      </c>
      <c r="T735" s="1375">
        <v>11</v>
      </c>
      <c r="U735" s="1351" t="b">
        <f>IF(AND(F735&gt;=S735,F735&lt;=T735),TRUE,FALSE)</f>
        <v>0</v>
      </c>
      <c r="V735" s="807"/>
      <c r="W735" s="819"/>
      <c r="X735" s="820"/>
      <c r="Y735" s="819"/>
      <c r="Z735" s="820"/>
      <c r="AA735" s="819"/>
      <c r="AB735" s="820"/>
      <c r="AD735" s="10"/>
      <c r="AE735" s="10"/>
      <c r="AF735" s="10"/>
      <c r="AG735" s="832">
        <f>IF($K735=TRUE,H735,0)</f>
        <v>0</v>
      </c>
      <c r="AH735" s="832">
        <f>IF($R735=TRUE,H735,0)</f>
        <v>0</v>
      </c>
      <c r="AI735" s="832">
        <f>IF($U735=TRUE,H735,0)</f>
        <v>0</v>
      </c>
      <c r="AJ735" s="1490">
        <f t="shared" ref="AJ735:AJ736" si="1495">IF(OR(I735=11,A735="F"),0,G735*I735)</f>
        <v>0</v>
      </c>
      <c r="AK735" s="1490">
        <f t="shared" ref="AK735:AK736" si="1496">IF(OR(J735=11,A735="F"),0,G735*J735)</f>
        <v>0</v>
      </c>
      <c r="AL735" s="1490">
        <f t="shared" ref="AL735:AL736" si="1497">IF(OR(P735=11,A735="F"),0,G735*P735)</f>
        <v>0</v>
      </c>
      <c r="AM735" s="1490">
        <f t="shared" ref="AM735:AM736" si="1498">IF(OR(Q735=11,A735="F"),0,G735*Q735)</f>
        <v>0</v>
      </c>
      <c r="AN735" s="1490">
        <f t="shared" ref="AN735:AN736" si="1499">IF(OR(S735=11,A735="F"),0,S735*G735)</f>
        <v>0</v>
      </c>
      <c r="AO735" s="1490">
        <f t="shared" ref="AO735:AO736" si="1500">IF(OR(T735=11,A735="F"),0,T735*G735)</f>
        <v>0</v>
      </c>
      <c r="AY735" s="734"/>
      <c r="AZ735" s="734"/>
      <c r="BA735" s="87"/>
      <c r="BB735" s="442"/>
      <c r="BC735" s="89"/>
      <c r="BD735" s="446"/>
      <c r="BE735" s="446"/>
      <c r="BF735" s="89"/>
      <c r="BG735" s="447"/>
      <c r="BH735" s="447"/>
      <c r="BI735" s="443"/>
    </row>
    <row r="736" spans="1:78" ht="19" x14ac:dyDescent="0.2">
      <c r="B736" s="1700">
        <f>'Cpts AR +indép + Sommaire'!G315</f>
        <v>0</v>
      </c>
      <c r="C736" s="379">
        <f>'Cpts AR +indép + Sommaire'!C315</f>
        <v>0</v>
      </c>
      <c r="D736" s="25">
        <f>'Cpts AR +indép + Sommaire'!D315</f>
        <v>0</v>
      </c>
      <c r="E736" s="78"/>
      <c r="F736" s="709">
        <f>'Cpts AR +indép + Sommaire'!E315</f>
        <v>0</v>
      </c>
      <c r="G736" s="709">
        <f>'Cpts AR +indép + Sommaire'!F315</f>
        <v>0</v>
      </c>
      <c r="H736" s="709">
        <f>F736*G736</f>
        <v>0</v>
      </c>
      <c r="I736" s="1374">
        <v>11</v>
      </c>
      <c r="J736" s="1375">
        <v>11</v>
      </c>
      <c r="K736" s="31" t="b">
        <f>IF(AND(F736&gt;=I736,F736&lt;=J736),TRUE,FALSE)</f>
        <v>0</v>
      </c>
      <c r="L736" s="31"/>
      <c r="M736" s="31"/>
      <c r="N736" s="31"/>
      <c r="O736" s="1351"/>
      <c r="P736" s="1374">
        <v>11</v>
      </c>
      <c r="Q736" s="1375">
        <v>11</v>
      </c>
      <c r="R736" s="1351" t="b">
        <f>IF(AND(F736&gt;=P736,F736&lt;=Q736),TRUE,FALSE)</f>
        <v>0</v>
      </c>
      <c r="S736" s="1374">
        <v>11</v>
      </c>
      <c r="T736" s="1375">
        <v>11</v>
      </c>
      <c r="U736" s="1351" t="b">
        <f>IF(AND(F736&gt;=S736,F736&lt;=T736),TRUE,FALSE)</f>
        <v>0</v>
      </c>
      <c r="V736" s="807"/>
      <c r="W736" s="821"/>
      <c r="X736" s="822"/>
      <c r="Y736" s="821"/>
      <c r="Z736" s="822"/>
      <c r="AA736" s="821"/>
      <c r="AB736" s="822"/>
      <c r="AD736" s="10"/>
      <c r="AE736" s="10"/>
      <c r="AF736" s="10"/>
      <c r="AG736" s="832">
        <f>IF($K736=TRUE,H736,0)</f>
        <v>0</v>
      </c>
      <c r="AH736" s="832">
        <f>IF($R736=TRUE,H736,0)</f>
        <v>0</v>
      </c>
      <c r="AI736" s="832">
        <f>IF($U736=TRUE,H736,0)</f>
        <v>0</v>
      </c>
      <c r="AJ736" s="1490">
        <f t="shared" si="1495"/>
        <v>0</v>
      </c>
      <c r="AK736" s="1490">
        <f t="shared" si="1496"/>
        <v>0</v>
      </c>
      <c r="AL736" s="1490">
        <f t="shared" si="1497"/>
        <v>0</v>
      </c>
      <c r="AM736" s="1490">
        <f t="shared" si="1498"/>
        <v>0</v>
      </c>
      <c r="AN736" s="1490">
        <f t="shared" si="1499"/>
        <v>0</v>
      </c>
      <c r="AO736" s="1490">
        <f t="shared" si="1500"/>
        <v>0</v>
      </c>
      <c r="AY736" s="734"/>
      <c r="AZ736" s="734"/>
      <c r="BA736" s="87"/>
      <c r="BB736" s="442"/>
      <c r="BC736" s="89"/>
      <c r="BD736" s="446"/>
      <c r="BE736" s="446"/>
      <c r="BF736" s="89"/>
      <c r="BG736" s="447"/>
      <c r="BH736" s="447"/>
      <c r="BI736" s="443"/>
    </row>
    <row r="737" spans="1:78" ht="19" x14ac:dyDescent="0.2">
      <c r="B737" s="1700"/>
      <c r="C737" s="710" t="s">
        <v>609</v>
      </c>
      <c r="D737" s="711">
        <f>_xlfn.XLOOKUP(H737,H735:H736,D735:D736)</f>
        <v>0</v>
      </c>
      <c r="E737" s="712">
        <f>_xlfn.XLOOKUP(H737,H735:H736,E735:E736)</f>
        <v>0</v>
      </c>
      <c r="F737" s="713"/>
      <c r="G737" s="713"/>
      <c r="H737" s="713">
        <f>IF(AND(K735=TRUE,K736=FALSE),H735,IF(AND(K735=FALSE,K736=TRUE),H736,MAX(H735,H736)))</f>
        <v>0</v>
      </c>
      <c r="I737" s="1352"/>
      <c r="J737" s="714"/>
      <c r="K737" s="715" t="b">
        <f>IF(AND(K735=FALSE,K736=FALSE),FALSE,TRUE)</f>
        <v>0</v>
      </c>
      <c r="L737" s="31"/>
      <c r="M737" s="31"/>
      <c r="N737" s="31"/>
      <c r="O737" s="1351"/>
      <c r="P737" s="1352"/>
      <c r="Q737" s="714"/>
      <c r="R737" s="1365" t="b">
        <f>IF(AND(R735=FALSE,R736=FALSE),FALSE,TRUE)</f>
        <v>0</v>
      </c>
      <c r="S737" s="1352"/>
      <c r="T737" s="714"/>
      <c r="U737" s="1365" t="b">
        <f>IF(AND(U735=FALSE,U736=FALSE),FALSE,TRUE)</f>
        <v>0</v>
      </c>
      <c r="V737" s="807"/>
      <c r="W737" s="821"/>
      <c r="X737" s="822"/>
      <c r="Y737" s="821"/>
      <c r="Z737" s="822"/>
      <c r="AA737" s="821"/>
      <c r="AB737" s="822"/>
      <c r="AD737" s="10"/>
      <c r="AE737" s="10"/>
      <c r="AF737" s="10"/>
      <c r="AG737" s="1740">
        <f>IF($K737=TRUE,MAX(AG735:AG736),0)</f>
        <v>0</v>
      </c>
      <c r="AH737" s="1740">
        <f>IF($R737=TRUE,MAX(AH735:AH736),0)</f>
        <v>0</v>
      </c>
      <c r="AI737" s="1740">
        <f>IF($U737=TRUE,MAX(AI735:AI736),0)</f>
        <v>0</v>
      </c>
      <c r="AJ737" s="1739">
        <f>MAX(AJ735:AJ736)</f>
        <v>0</v>
      </c>
      <c r="AK737" s="1739">
        <f t="shared" ref="AK737:AO737" si="1501">MAX(AK735:AK736)</f>
        <v>0</v>
      </c>
      <c r="AL737" s="1739">
        <f t="shared" si="1501"/>
        <v>0</v>
      </c>
      <c r="AM737" s="1739">
        <f t="shared" si="1501"/>
        <v>0</v>
      </c>
      <c r="AN737" s="1739">
        <f t="shared" si="1501"/>
        <v>0</v>
      </c>
      <c r="AO737" s="1739">
        <f t="shared" si="1501"/>
        <v>0</v>
      </c>
      <c r="AY737" s="734"/>
      <c r="AZ737" s="734"/>
      <c r="BA737" s="87"/>
      <c r="BB737" s="442"/>
      <c r="BC737" s="89"/>
      <c r="BD737" s="446"/>
      <c r="BE737" s="446"/>
      <c r="BF737" s="89"/>
      <c r="BG737" s="447"/>
      <c r="BH737" s="447"/>
      <c r="BI737" s="443"/>
    </row>
    <row r="738" spans="1:78" ht="16" x14ac:dyDescent="0.2">
      <c r="B738" s="1700"/>
      <c r="C738" s="38" t="s">
        <v>242</v>
      </c>
      <c r="D738" s="25"/>
      <c r="E738" s="78"/>
      <c r="F738" s="709"/>
      <c r="G738" s="708"/>
      <c r="H738" s="709">
        <f>F738*G738</f>
        <v>0</v>
      </c>
      <c r="I738" s="1374">
        <v>11</v>
      </c>
      <c r="J738" s="1375">
        <v>11</v>
      </c>
      <c r="K738" s="31" t="b">
        <f>IF(AND(F738&gt;=I738,F738&lt;=J738),TRUE,FALSE)</f>
        <v>0</v>
      </c>
      <c r="L738" s="31"/>
      <c r="M738" s="31"/>
      <c r="N738" s="31"/>
      <c r="O738" s="1351"/>
      <c r="P738" s="1374">
        <v>11</v>
      </c>
      <c r="Q738" s="1375">
        <v>11</v>
      </c>
      <c r="R738" s="1351" t="b">
        <f>IF(AND(F738&gt;=P738,F738&lt;=Q738),TRUE,FALSE)</f>
        <v>0</v>
      </c>
      <c r="S738" s="1374">
        <v>11</v>
      </c>
      <c r="T738" s="1375">
        <v>11</v>
      </c>
      <c r="U738" s="1351" t="b">
        <f>IF(AND(F738&gt;=S738,F738&lt;=T738),TRUE,FALSE)</f>
        <v>0</v>
      </c>
      <c r="V738" s="807"/>
      <c r="W738" s="821"/>
      <c r="X738" s="822"/>
      <c r="Y738" s="821"/>
      <c r="Z738" s="822"/>
      <c r="AA738" s="821"/>
      <c r="AB738" s="822"/>
      <c r="AD738" s="10"/>
      <c r="AE738" s="10"/>
      <c r="AF738" s="10"/>
      <c r="AG738" s="832">
        <f>IF(K738=TRUE,H738,0)</f>
        <v>0</v>
      </c>
      <c r="AH738" s="832">
        <f>IF(R738=TRUE,H738,0)</f>
        <v>0</v>
      </c>
      <c r="AI738" s="832">
        <f>IF(U738=TRUE,H738,0)</f>
        <v>0</v>
      </c>
      <c r="AJ738" s="1490">
        <f t="shared" ref="AJ738:AJ739" si="1502">IF(OR(I738=11,A738="F"),0,G738*I738)</f>
        <v>0</v>
      </c>
      <c r="AK738" s="1490">
        <f t="shared" ref="AK738:AK739" si="1503">IF(OR(J738=11,A738="F"),0,G738*J738)</f>
        <v>0</v>
      </c>
      <c r="AL738" s="1490">
        <f t="shared" ref="AL738:AL739" si="1504">IF(OR(P738=11,A738="F"),0,G738*P738)</f>
        <v>0</v>
      </c>
      <c r="AM738" s="1490">
        <f t="shared" ref="AM738:AM739" si="1505">IF(OR(Q738=11,A738="F"),0,G738*Q738)</f>
        <v>0</v>
      </c>
      <c r="AN738" s="1490">
        <f t="shared" ref="AN738:AN739" si="1506">IF(OR(S738=11,A738="F"),0,S738*G738)</f>
        <v>0</v>
      </c>
      <c r="AO738" s="1490">
        <f t="shared" ref="AO738:AO739" si="1507">IF(OR(T738=11,A738="F"),0,T738*G738)</f>
        <v>0</v>
      </c>
    </row>
    <row r="739" spans="1:78" ht="19" x14ac:dyDescent="0.2">
      <c r="B739" s="1700"/>
      <c r="C739" s="38" t="s">
        <v>242</v>
      </c>
      <c r="D739" s="25"/>
      <c r="E739" s="48"/>
      <c r="F739" s="27"/>
      <c r="G739" s="27"/>
      <c r="H739" s="27">
        <f>F739*G739</f>
        <v>0</v>
      </c>
      <c r="I739" s="1374">
        <v>11</v>
      </c>
      <c r="J739" s="1375">
        <v>11</v>
      </c>
      <c r="K739" s="31" t="b">
        <f>IF(AND(F739&gt;=I739,F739&lt;=J739),TRUE,FALSE)</f>
        <v>0</v>
      </c>
      <c r="L739" s="31"/>
      <c r="M739" s="31"/>
      <c r="N739" s="31"/>
      <c r="O739" s="1351"/>
      <c r="P739" s="1374">
        <v>11</v>
      </c>
      <c r="Q739" s="1375">
        <v>11</v>
      </c>
      <c r="R739" s="1351" t="b">
        <f>IF(AND(F739&gt;=P739,F739&lt;=Q739),TRUE,FALSE)</f>
        <v>0</v>
      </c>
      <c r="S739" s="1374">
        <v>11</v>
      </c>
      <c r="T739" s="1375">
        <v>11</v>
      </c>
      <c r="U739" s="1351" t="b">
        <f>IF(AND(F739&gt;=S739,F739&lt;=T739),TRUE,FALSE)</f>
        <v>0</v>
      </c>
      <c r="V739" s="807"/>
      <c r="W739" s="821"/>
      <c r="X739" s="822"/>
      <c r="Y739" s="821"/>
      <c r="Z739" s="822"/>
      <c r="AA739" s="821"/>
      <c r="AB739" s="822"/>
      <c r="AD739" s="10"/>
      <c r="AE739" s="10"/>
      <c r="AF739" s="10"/>
      <c r="AG739" s="832">
        <f>IF(K739=TRUE,H739,0)</f>
        <v>0</v>
      </c>
      <c r="AH739" s="832">
        <f>IF(R739=TRUE,H739,0)</f>
        <v>0</v>
      </c>
      <c r="AI739" s="832">
        <f>IF(U739=TRUE,H739,0)</f>
        <v>0</v>
      </c>
      <c r="AJ739" s="1490">
        <f t="shared" si="1502"/>
        <v>0</v>
      </c>
      <c r="AK739" s="1490">
        <f t="shared" si="1503"/>
        <v>0</v>
      </c>
      <c r="AL739" s="1490">
        <f t="shared" si="1504"/>
        <v>0</v>
      </c>
      <c r="AM739" s="1490">
        <f t="shared" si="1505"/>
        <v>0</v>
      </c>
      <c r="AN739" s="1490">
        <f t="shared" si="1506"/>
        <v>0</v>
      </c>
      <c r="AO739" s="1490">
        <f t="shared" si="1507"/>
        <v>0</v>
      </c>
      <c r="AV739" s="7"/>
      <c r="AX739" s="7"/>
      <c r="AY739" s="734"/>
      <c r="AZ739" s="734"/>
      <c r="BA739" s="87"/>
      <c r="BB739" s="442"/>
      <c r="BC739" s="89"/>
      <c r="BD739" s="446"/>
      <c r="BE739" s="446"/>
      <c r="BF739" s="89"/>
      <c r="BG739" s="447"/>
      <c r="BH739" s="447"/>
      <c r="BI739" s="443"/>
      <c r="BN739" s="25"/>
      <c r="BP739" s="7"/>
      <c r="BQ739" s="7"/>
      <c r="BR739" s="7"/>
      <c r="BS739" s="7"/>
      <c r="BT739" s="7"/>
      <c r="BU739" s="7"/>
      <c r="BV739" s="7"/>
      <c r="BW739" s="7"/>
      <c r="BX739" s="7"/>
      <c r="BY739" s="7"/>
      <c r="BZ739" s="7"/>
    </row>
    <row r="740" spans="1:78" ht="20" thickBot="1" x14ac:dyDescent="0.25">
      <c r="B740" s="1700"/>
      <c r="C740" s="716" t="s">
        <v>610</v>
      </c>
      <c r="D740" s="717">
        <f>_xlfn.XLOOKUP(H740,H738:H739,D738:D739)</f>
        <v>0</v>
      </c>
      <c r="E740" s="718">
        <f>_xlfn.XLOOKUP(H740,H738:H739,E738:E739)</f>
        <v>0</v>
      </c>
      <c r="F740" s="719"/>
      <c r="G740" s="719"/>
      <c r="H740" s="713">
        <f>IF(AND(K738=TRUE,K739=FALSE),H738,IF(AND(K738=FALSE,K739=TRUE),H739,MAX(H738,H739)))</f>
        <v>0</v>
      </c>
      <c r="I740" s="1353"/>
      <c r="J740" s="720"/>
      <c r="K740" s="721" t="b">
        <f>IF(AND(K738=FALSE,K739=FALSE),FALSE,TRUE)</f>
        <v>0</v>
      </c>
      <c r="L740" s="31"/>
      <c r="M740" s="31"/>
      <c r="N740" s="31"/>
      <c r="O740" s="1351"/>
      <c r="P740" s="1353"/>
      <c r="Q740" s="720"/>
      <c r="R740" s="1366" t="b">
        <f>IF(AND(R738=FALSE,R739=FALSE),FALSE,TRUE)</f>
        <v>0</v>
      </c>
      <c r="S740" s="1353"/>
      <c r="T740" s="720"/>
      <c r="U740" s="1366" t="b">
        <f>IF(AND(U738=FALSE,U739=FALSE),FALSE,TRUE)</f>
        <v>0</v>
      </c>
      <c r="V740" s="807"/>
      <c r="W740" s="821"/>
      <c r="X740" s="822"/>
      <c r="Y740" s="821"/>
      <c r="Z740" s="822"/>
      <c r="AA740" s="821"/>
      <c r="AB740" s="822"/>
      <c r="AD740" s="10"/>
      <c r="AE740" s="10"/>
      <c r="AF740" s="10"/>
      <c r="AG740" s="1740">
        <f>IF($K740=TRUE,MAX(AG738:AG739),0)</f>
        <v>0</v>
      </c>
      <c r="AH740" s="1740">
        <f>IF($R740=TRUE,MAX(AH738:AH739),0)</f>
        <v>0</v>
      </c>
      <c r="AI740" s="1740">
        <f>IF($U740=TRUE,MAX(AI738:AI739),0)</f>
        <v>0</v>
      </c>
      <c r="AJ740" s="1739">
        <f>MAX(AJ738:AJ739)</f>
        <v>0</v>
      </c>
      <c r="AK740" s="1739">
        <f t="shared" ref="AK740:AO740" si="1508">MAX(AK738:AK739)</f>
        <v>0</v>
      </c>
      <c r="AL740" s="1739">
        <f t="shared" si="1508"/>
        <v>0</v>
      </c>
      <c r="AM740" s="1739">
        <f t="shared" si="1508"/>
        <v>0</v>
      </c>
      <c r="AN740" s="1739">
        <f t="shared" si="1508"/>
        <v>0</v>
      </c>
      <c r="AO740" s="1739">
        <f t="shared" si="1508"/>
        <v>0</v>
      </c>
      <c r="AV740" s="7"/>
      <c r="AX740" s="7"/>
      <c r="AY740" s="734"/>
      <c r="AZ740" s="734"/>
      <c r="BA740" s="87"/>
      <c r="BB740" s="442"/>
      <c r="BC740" s="89"/>
      <c r="BD740" s="446"/>
      <c r="BE740" s="446"/>
      <c r="BF740" s="89"/>
      <c r="BG740" s="447"/>
      <c r="BH740" s="447"/>
      <c r="BI740" s="443"/>
      <c r="BN740" s="25"/>
      <c r="BP740" s="7"/>
      <c r="BQ740" s="7"/>
      <c r="BR740" s="7"/>
      <c r="BS740" s="7"/>
      <c r="BT740" s="7"/>
      <c r="BU740" s="7"/>
      <c r="BV740" s="7"/>
      <c r="BW740" s="7"/>
      <c r="BX740" s="7"/>
      <c r="BY740" s="7"/>
      <c r="BZ740" s="7"/>
    </row>
    <row r="741" spans="1:78" ht="35" thickBot="1" x14ac:dyDescent="0.25">
      <c r="B741" s="1700"/>
      <c r="C741" s="722" t="s">
        <v>616</v>
      </c>
      <c r="D741" s="723"/>
      <c r="E741" s="723">
        <f>IF(H741=H737,E737,E740)</f>
        <v>0</v>
      </c>
      <c r="F741" s="724"/>
      <c r="G741" s="724"/>
      <c r="H741" s="724">
        <f>IF(AND(K737=TRUE,K740=FALSE),H737,IF(AND(K737=FALSE,K740=TRUE),H740,IF(AND(K737=TRUE,K740=TRUE),H737+H740,MAX(H737,H740))))</f>
        <v>0</v>
      </c>
      <c r="I741" s="1354"/>
      <c r="J741" s="725"/>
      <c r="K741" s="726" t="b">
        <f>IF(AND(K737=FALSE,K740=FALSE),FALSE,TRUE)</f>
        <v>0</v>
      </c>
      <c r="L741" s="1338"/>
      <c r="M741" s="1338"/>
      <c r="N741" s="1338"/>
      <c r="O741" s="1355"/>
      <c r="P741" s="1354"/>
      <c r="Q741" s="725"/>
      <c r="R741" s="726" t="b">
        <f>IF(AND(R737=FALSE,R740=FALSE),FALSE,TRUE)</f>
        <v>0</v>
      </c>
      <c r="S741" s="1354"/>
      <c r="T741" s="725"/>
      <c r="U741" s="726" t="b">
        <f>IF(AND(U737=FALSE,U740=FALSE),FALSE,TRUE)</f>
        <v>0</v>
      </c>
      <c r="V741" s="807"/>
      <c r="W741" s="821" t="str">
        <f>IF(K741=TRUE,"V","F")</f>
        <v>F</v>
      </c>
      <c r="X741" s="822"/>
      <c r="Y741" s="821" t="str">
        <f>IF(R741=TRUE,"V","F")</f>
        <v>F</v>
      </c>
      <c r="Z741" s="822"/>
      <c r="AA741" s="821" t="str">
        <f>IF(U741=TRUE,"V","F")</f>
        <v>F</v>
      </c>
      <c r="AB741" s="822"/>
      <c r="AC741" t="str">
        <f>IF(OR(W741="V",Y741="V"),IF(H740&gt;H737,"Le NC contribue plus que le coparent","Le coparent joue un plus grand rôle que le NC"),"pas de contexte significatif de la part du coparent et NC")</f>
        <v>pas de contexte significatif de la part du coparent et NC</v>
      </c>
      <c r="AD741" s="10"/>
      <c r="AE741" s="10"/>
      <c r="AF741" s="10"/>
      <c r="AG741" s="591">
        <f>IF(AND($K737=TRUE,$K740=FALSE),AG737,IF(AND($K737=FALSE,$K740=TRUE),AG740,IF(AND($K737=TRUE,$K740=TRUE),AG737+AG740,0)))</f>
        <v>0</v>
      </c>
      <c r="AH741" s="591">
        <f>IF(AND($R737=TRUE,$R740=FALSE),AH737,IF(AND($R737=FALSE,$R740=TRUE),AH740,IF(AND($R737=TRUE,$R740=TRUE),AH737+AH740,0)))</f>
        <v>0</v>
      </c>
      <c r="AI741" s="591">
        <f>IF(AND($U737=TRUE,$U740=FALSE),AI737,IF(AND($U737=FALSE,$U740=TRUE),AI740,IF(AND($U737=TRUE,$U740=TRUE),AI737+AI740,0)))</f>
        <v>0</v>
      </c>
      <c r="AJ741" s="591">
        <f>IF(AND($K737=TRUE,$K740=FALSE),AJ737,IF(AND($K737=FALSE,$K740=TRUE),AJ740,IF(AND($K737=TRUE,$K740=TRUE),AJ737+AJ740,MAX(AJ737,AJ740))))</f>
        <v>0</v>
      </c>
      <c r="AK741" s="591">
        <f>IF(AND($K737=TRUE,$K740=FALSE),AK737,IF(AND($K737=FALSE,$K740=TRUE),AK740,IF(AND($K737=TRUE,$K740=TRUE),AK737+AK740,MAX(AK737,AK740))))</f>
        <v>0</v>
      </c>
      <c r="AL741" s="591">
        <f t="shared" ref="AL741:AM741" si="1509">IF(AND($R737=TRUE,$R740=FALSE),AL737,IF(AND($R737=FALSE,$R740=TRUE),AL740,IF(AND($R737=TRUE,$R740=TRUE),AL737+AL740,MAX(AL737,AL740))))</f>
        <v>0</v>
      </c>
      <c r="AM741" s="591">
        <f t="shared" si="1509"/>
        <v>0</v>
      </c>
      <c r="AN741" s="591">
        <f t="shared" ref="AN741:AO741" si="1510">IF(AND($U737=TRUE,$U740=FALSE),AN737,IF(AND($U737=FALSE,$U740=TRUE),AN740,IF(AND($U737=TRUE,$U740=TRUE),AN737+AN740,MAX(AN737,AN740))))</f>
        <v>0</v>
      </c>
      <c r="AO741" s="591">
        <f t="shared" si="1510"/>
        <v>0</v>
      </c>
      <c r="AV741" s="7"/>
      <c r="AX741" s="7"/>
      <c r="AY741" s="734"/>
      <c r="AZ741" s="734"/>
      <c r="BA741" s="87"/>
      <c r="BB741" s="442"/>
      <c r="BC741" s="89"/>
      <c r="BD741" s="446"/>
      <c r="BE741" s="446"/>
      <c r="BF741" s="89"/>
      <c r="BG741" s="447"/>
      <c r="BH741" s="447"/>
      <c r="BI741" s="443"/>
      <c r="BN741" s="25"/>
      <c r="BP741" s="7"/>
      <c r="BQ741" s="7"/>
      <c r="BR741" s="7"/>
      <c r="BS741" s="7"/>
      <c r="BT741" s="7"/>
      <c r="BU741" s="7"/>
      <c r="BV741" s="7"/>
      <c r="BW741" s="7"/>
      <c r="BX741" s="7"/>
      <c r="BY741" s="7"/>
      <c r="BZ741" s="7"/>
    </row>
    <row r="742" spans="1:78" ht="34" x14ac:dyDescent="0.2">
      <c r="A742" t="str">
        <f>IF(Test_Bible!B272="","F","O")</f>
        <v>O</v>
      </c>
      <c r="B742" s="2148" t="s">
        <v>1823</v>
      </c>
      <c r="C742" s="287" t="str">
        <f>'Cpts AR +indép + Sommaire'!O106</f>
        <v>E05</v>
      </c>
      <c r="D742" s="25" t="str">
        <f>'Cpts AR +indép + Sommaire'!P106</f>
        <v>Votre enfant s’exprime avec des expressions ou des paroles empruntées à l’autre parent.</v>
      </c>
      <c r="E742" s="78" t="s">
        <v>1980</v>
      </c>
      <c r="F742" s="709">
        <f>'Cpts AR +indép + Sommaire'!Q106</f>
        <v>2</v>
      </c>
      <c r="G742" s="709">
        <f>'Cpts AR +indép + Sommaire'!R106</f>
        <v>2</v>
      </c>
      <c r="H742" s="709">
        <f>F742*G742</f>
        <v>4</v>
      </c>
      <c r="I742" s="1350">
        <v>4</v>
      </c>
      <c r="J742" s="1343">
        <v>10</v>
      </c>
      <c r="K742" s="31" t="b">
        <f>IF(AND(F742&gt;=I742,F742&lt;=J742),TRUE,FALSE)</f>
        <v>0</v>
      </c>
      <c r="L742" s="31"/>
      <c r="M742" s="31"/>
      <c r="N742" s="31"/>
      <c r="O742" s="1351"/>
      <c r="P742" s="1350">
        <v>2</v>
      </c>
      <c r="Q742" s="1343">
        <v>7</v>
      </c>
      <c r="R742" s="1351" t="b">
        <f>IF(AND(F742&gt;=P742,F742&lt;=Q742),TRUE,FALSE)</f>
        <v>1</v>
      </c>
      <c r="S742" s="1350"/>
      <c r="T742" s="1343"/>
      <c r="U742" s="1351"/>
      <c r="V742" s="807"/>
      <c r="W742" s="821" t="s">
        <v>753</v>
      </c>
      <c r="X742" s="822"/>
      <c r="Y742" s="821"/>
      <c r="Z742" s="822"/>
      <c r="AA742" s="821"/>
      <c r="AB742" s="822"/>
      <c r="AD742" s="10"/>
      <c r="AE742" s="10"/>
      <c r="AF742" s="10"/>
      <c r="AG742" s="832">
        <f>IF($K742=TRUE,H742,0)</f>
        <v>0</v>
      </c>
      <c r="AH742" s="832">
        <f>IF($R742=TRUE,H742,0)</f>
        <v>4</v>
      </c>
      <c r="AI742" s="832"/>
      <c r="AJ742" s="1490">
        <f t="shared" ref="AJ742:AJ743" si="1511">IF(OR(I742=11,A742="F"),0,G742*I742)</f>
        <v>8</v>
      </c>
      <c r="AK742" s="1490">
        <f t="shared" ref="AK742:AK743" si="1512">IF(OR(J742=11,A742="F"),0,G742*J742)</f>
        <v>20</v>
      </c>
      <c r="AL742" s="1490">
        <f t="shared" ref="AL742:AL743" si="1513">IF(OR(P742=11,A742="F"),0,G742*P742)</f>
        <v>4</v>
      </c>
      <c r="AM742" s="1490">
        <f t="shared" ref="AM742:AM743" si="1514">IF(OR(Q742=11,A742="F"),0,G742*Q742)</f>
        <v>14</v>
      </c>
      <c r="AN742" s="1490">
        <f t="shared" ref="AN742:AN743" si="1515">IF(OR(S742=11,A742="F"),0,S742*G742)</f>
        <v>0</v>
      </c>
      <c r="AO742" s="1490">
        <f t="shared" ref="AO742:AO743" si="1516">IF(OR(T742=11,A742="F"),0,T742*G742)</f>
        <v>0</v>
      </c>
      <c r="AV742" s="7"/>
      <c r="AX742" s="7"/>
      <c r="AY742" s="734"/>
      <c r="AZ742" s="734"/>
      <c r="BA742" s="87"/>
      <c r="BB742" s="442"/>
      <c r="BC742" s="89"/>
      <c r="BD742" s="446"/>
      <c r="BE742" s="446"/>
      <c r="BF742" s="89"/>
      <c r="BG742" s="447"/>
      <c r="BH742" s="447"/>
      <c r="BI742" s="443"/>
      <c r="BN742" s="25"/>
      <c r="BP742" s="7"/>
      <c r="BQ742" s="7"/>
      <c r="BR742" s="7"/>
      <c r="BS742" s="7"/>
      <c r="BT742" s="7"/>
      <c r="BU742" s="7"/>
      <c r="BV742" s="7"/>
      <c r="BW742" s="7"/>
      <c r="BX742" s="7"/>
      <c r="BY742" s="7"/>
      <c r="BZ742" s="7"/>
    </row>
    <row r="743" spans="1:78" ht="20" thickBot="1" x14ac:dyDescent="0.25">
      <c r="B743" s="1700"/>
      <c r="C743" s="287" t="s">
        <v>272</v>
      </c>
      <c r="D743" s="25"/>
      <c r="E743" s="78"/>
      <c r="F743" s="709"/>
      <c r="G743" s="708"/>
      <c r="H743" s="709">
        <f>F743*G743</f>
        <v>0</v>
      </c>
      <c r="I743" s="1374">
        <v>11</v>
      </c>
      <c r="J743" s="1375">
        <v>11</v>
      </c>
      <c r="K743" s="31" t="b">
        <f>IF(AND(F743&gt;=I743,F743&lt;=J743),TRUE,FALSE)</f>
        <v>0</v>
      </c>
      <c r="L743" s="31"/>
      <c r="M743" s="31"/>
      <c r="N743" s="31"/>
      <c r="O743" s="1351"/>
      <c r="P743" s="1374">
        <v>11</v>
      </c>
      <c r="Q743" s="1375">
        <v>11</v>
      </c>
      <c r="R743" s="1351" t="b">
        <f>IF(AND(F743&gt;=P743,F743&lt;=Q743),TRUE,FALSE)</f>
        <v>0</v>
      </c>
      <c r="S743" s="1374"/>
      <c r="T743" s="1375"/>
      <c r="U743" s="1351"/>
      <c r="V743" s="807"/>
      <c r="W743" s="821"/>
      <c r="X743" s="822"/>
      <c r="Y743" s="821"/>
      <c r="Z743" s="822"/>
      <c r="AA743" s="821"/>
      <c r="AB743" s="822"/>
      <c r="AD743" s="10"/>
      <c r="AE743" s="10"/>
      <c r="AF743" s="10"/>
      <c r="AG743" s="832">
        <f>IF($K743=TRUE,H743,0)</f>
        <v>0</v>
      </c>
      <c r="AH743" s="832">
        <f>IF($R743=TRUE,H743,0)</f>
        <v>0</v>
      </c>
      <c r="AI743" s="832"/>
      <c r="AJ743" s="1490">
        <f t="shared" si="1511"/>
        <v>0</v>
      </c>
      <c r="AK743" s="1490">
        <f t="shared" si="1512"/>
        <v>0</v>
      </c>
      <c r="AL743" s="1490">
        <f t="shared" si="1513"/>
        <v>0</v>
      </c>
      <c r="AM743" s="1490">
        <f t="shared" si="1514"/>
        <v>0</v>
      </c>
      <c r="AN743" s="1490">
        <f t="shared" si="1515"/>
        <v>0</v>
      </c>
      <c r="AO743" s="1490">
        <f t="shared" si="1516"/>
        <v>0</v>
      </c>
      <c r="AV743" s="7"/>
      <c r="AX743" s="7"/>
      <c r="AY743" s="734"/>
      <c r="AZ743" s="734"/>
      <c r="BA743" s="87"/>
      <c r="BB743" s="442"/>
      <c r="BC743" s="89"/>
      <c r="BD743" s="446"/>
      <c r="BE743" s="446"/>
      <c r="BF743" s="89"/>
      <c r="BG743" s="447"/>
      <c r="BH743" s="447"/>
      <c r="BI743" s="443"/>
      <c r="BN743" s="25"/>
      <c r="BP743" s="7"/>
      <c r="BQ743" s="7"/>
      <c r="BR743" s="7"/>
      <c r="BS743" s="7"/>
      <c r="BT743" s="7"/>
      <c r="BU743" s="7"/>
      <c r="BV743" s="7"/>
      <c r="BW743" s="7"/>
      <c r="BX743" s="7"/>
      <c r="BY743" s="7"/>
      <c r="BZ743" s="7"/>
    </row>
    <row r="744" spans="1:78" ht="35" thickBot="1" x14ac:dyDescent="0.25">
      <c r="B744" s="1700"/>
      <c r="C744" s="727" t="s">
        <v>611</v>
      </c>
      <c r="D744" s="728" t="str">
        <f>_xlfn.XLOOKUP(H744,H742:H743,D742:D743)</f>
        <v>Votre enfant s’exprime avec des expressions ou des paroles empruntées à l’autre parent.</v>
      </c>
      <c r="E744" s="728" t="str">
        <f>_xlfn.XLOOKUP(H744,H742:H743,E742:E743)</f>
        <v>s'exprime avec les propos du coparent</v>
      </c>
      <c r="F744" s="729"/>
      <c r="G744" s="729"/>
      <c r="H744" s="729">
        <f>IF(AND(K742=TRUE,K743=FALSE),H742,IF(AND(K742=FALSE,K743=TRUE),H743,MAX(H742,H743)))</f>
        <v>4</v>
      </c>
      <c r="I744" s="1356"/>
      <c r="J744" s="730"/>
      <c r="K744" s="731" t="b">
        <f>IF(AND(K742=FALSE,K743=FALSE),FALSE,TRUE)</f>
        <v>0</v>
      </c>
      <c r="L744" s="1339"/>
      <c r="M744" s="1339"/>
      <c r="N744" s="1339"/>
      <c r="O744" s="1357"/>
      <c r="P744" s="1356"/>
      <c r="Q744" s="730"/>
      <c r="R744" s="731" t="b">
        <f>IF(AND(R742=FALSE,R743=FALSE),FALSE,TRUE)</f>
        <v>1</v>
      </c>
      <c r="S744" s="1356"/>
      <c r="T744" s="730"/>
      <c r="U744" s="731"/>
      <c r="V744" s="807"/>
      <c r="W744" s="821" t="str">
        <f>IF(K744=TRUE,"V","F")</f>
        <v>F</v>
      </c>
      <c r="X744" s="822"/>
      <c r="Y744" s="821" t="str">
        <f>IF(R744=TRUE,"V","F")</f>
        <v>V</v>
      </c>
      <c r="Z744" s="822"/>
      <c r="AA744" s="821"/>
      <c r="AB744" s="822"/>
      <c r="AD744" s="10"/>
      <c r="AE744" s="10"/>
      <c r="AF744" s="10"/>
      <c r="AG744" s="1742">
        <f>IF(AND($K742=TRUE,$K743=FALSE),AG742,IF(AND($K742=FALSE,$K743=TRUE),AG743,IF(AND($K742=TRUE,$K743=TRUE),MAX(AG742,AG743),0)))</f>
        <v>0</v>
      </c>
      <c r="AH744" s="1742">
        <f>IF(AND($R742=TRUE,$R743=FALSE),AH742,IF(AND($R742=FALSE,$R743=TRUE),AH743,IF(AND($R742=TRUE,$R743=TRUE),MAX(AH742,AH743),0)))</f>
        <v>4</v>
      </c>
      <c r="AI744" s="1742"/>
      <c r="AJ744" s="1742">
        <f>IF(AND($K742=TRUE,$K743=FALSE),AJ742,IF(AND($K742=FALSE,$K743=TRUE),AJ743,IF(AND($K742=TRUE,$K743=TRUE),MAX(AJ742,AJ743),0)))</f>
        <v>0</v>
      </c>
      <c r="AK744" s="1742">
        <f>IF(AND($K742=TRUE,$K743=FALSE),AK742,IF(AND($K742=FALSE,$K743=TRUE),AK743,IF(AND($K742=TRUE,$K743=TRUE),MAX(AK742,AK743),0)))</f>
        <v>0</v>
      </c>
      <c r="AL744" s="1742">
        <f t="shared" ref="AL744:AM744" si="1517">IF(AND($R742=TRUE,$R743=FALSE),AL742,IF(AND($R742=FALSE,$R743=TRUE),AL743,IF(AND($R742=TRUE,$R743=TRUE),MAX(AL742,AL743),0)))</f>
        <v>4</v>
      </c>
      <c r="AM744" s="1742">
        <f t="shared" si="1517"/>
        <v>14</v>
      </c>
      <c r="AN744" s="1742"/>
      <c r="AO744" s="1742"/>
    </row>
    <row r="745" spans="1:78" ht="17" x14ac:dyDescent="0.2">
      <c r="B745" s="1700"/>
      <c r="D745" s="386" t="s">
        <v>273</v>
      </c>
      <c r="E745" s="705"/>
      <c r="F745" s="439" t="s">
        <v>349</v>
      </c>
      <c r="G745" s="33"/>
      <c r="H745" s="33">
        <f>IF(AND(K741=TRUE,K744=FALSE),H741,IF(AND(K741=FALSE,K744=TRUE),H744,IF(AND(K741=TRUE,K744=TRUE),H741+H744,MAX(H741,H744))))</f>
        <v>4</v>
      </c>
      <c r="I745" s="1358"/>
      <c r="J745" s="440"/>
      <c r="K745" s="1341"/>
      <c r="L745" s="1342"/>
      <c r="M745" s="1342"/>
      <c r="N745" s="1342" t="str">
        <f>IF(AND(K741=FALSE,K744=TRUE),E744,"")</f>
        <v/>
      </c>
      <c r="O745" s="1359"/>
      <c r="P745" s="1358"/>
      <c r="Q745" s="440"/>
      <c r="R745" s="1367"/>
      <c r="S745" s="1358"/>
      <c r="T745" s="440"/>
      <c r="U745" s="1367"/>
      <c r="V745" s="145"/>
      <c r="W745" s="823"/>
      <c r="X745" s="824">
        <f>IF(AND(W741="V",W744="V"),2,IF(OR(W741="V",W744="V"),1,0))</f>
        <v>0</v>
      </c>
      <c r="Y745" s="823"/>
      <c r="Z745" s="824">
        <f>IF(OR(Y741="V",Y744="V"),1,0)</f>
        <v>1</v>
      </c>
      <c r="AA745" s="823"/>
      <c r="AB745" s="824"/>
      <c r="AD745" s="10"/>
      <c r="AE745" s="10"/>
      <c r="AF745" s="10"/>
      <c r="AG745" s="1738">
        <f>IF(AND($W741="V",$W744="F"),AG741,IF(AND($W741="F",$W744="V"),AG744,IF(AND($W741="V",$W744="V"),AG741+AG744,0)))</f>
        <v>0</v>
      </c>
      <c r="AH745" s="1738">
        <f>IF(AND($Y741="V",$Y744="F"),AH741,IF(AND($Y741="F",$Y744="V"),AH744,IF(AND($Y741="V",$Y744="V"),AH741+AH744,0)))</f>
        <v>4</v>
      </c>
      <c r="AI745" s="1738"/>
      <c r="AJ745" s="1738">
        <f>IF(AND($W741="V",$W744="F"),AJ741,IF(AND($W741="F",$W744="V"),AJ744,IF(AND($W741="V",$W744="V"),AJ741+AJ744,0)))</f>
        <v>0</v>
      </c>
      <c r="AK745" s="1738">
        <f>IF(AND($W741="V",$W744="F"),AK741,IF(AND($W741="F",$W744="V"),AK744,IF(AND($W741="V",$W744="V"),AK741+AK744,0)))</f>
        <v>0</v>
      </c>
      <c r="AL745" s="1738">
        <f>IF(AND($Y741="V",$Y744="F"),AL741,IF(AND($Y741="F",$Y744="V"),AL744,IF(AND($Y741="V",$Y744="V"),AL741+AL744,0)))</f>
        <v>4</v>
      </c>
      <c r="AM745" s="1738">
        <f>IF(AND($Y741="V",$Y744="F"),AM741,IF(AND($Y741="F",$Y744="V"),AM744,IF(AND($Y741="V",$Y744="V"),AM741+AM744,0)))</f>
        <v>14</v>
      </c>
      <c r="AN745" s="1738"/>
      <c r="AO745" s="1738"/>
    </row>
    <row r="746" spans="1:78" ht="16" x14ac:dyDescent="0.2">
      <c r="B746" s="1700"/>
      <c r="C746" t="s">
        <v>238</v>
      </c>
      <c r="I746" s="122"/>
      <c r="L746" s="32"/>
      <c r="M746" s="32"/>
      <c r="N746" s="32"/>
      <c r="O746" s="1379"/>
      <c r="P746" s="122"/>
      <c r="R746" s="292"/>
      <c r="S746" s="122"/>
      <c r="U746" s="292"/>
      <c r="V746" s="32"/>
      <c r="W746" s="821"/>
      <c r="X746" s="822"/>
      <c r="Y746" s="821"/>
      <c r="Z746" s="822"/>
      <c r="AA746" s="821"/>
      <c r="AB746" s="822"/>
      <c r="AD746" s="10"/>
      <c r="AE746" s="10"/>
      <c r="AF746" s="10"/>
      <c r="AG746" s="832"/>
      <c r="AH746" s="832"/>
      <c r="AI746" s="832"/>
      <c r="AJ746" s="1490"/>
      <c r="AK746" s="1490"/>
      <c r="AL746" s="1490"/>
      <c r="AM746" s="1490"/>
      <c r="AN746" s="1490"/>
      <c r="AO746" s="1490"/>
    </row>
    <row r="747" spans="1:78" ht="19" x14ac:dyDescent="0.2">
      <c r="B747" s="1700"/>
      <c r="C747" s="825"/>
      <c r="D747" s="829"/>
      <c r="E747" s="826"/>
      <c r="F747" s="830"/>
      <c r="G747" s="830"/>
      <c r="H747" s="830">
        <f>F747*G747</f>
        <v>0</v>
      </c>
      <c r="I747" s="1374">
        <v>11</v>
      </c>
      <c r="J747" s="1375">
        <v>11</v>
      </c>
      <c r="K747" s="31" t="b">
        <f>IF(AND(F747&gt;=I747,F747&lt;=J747),TRUE,FALSE)</f>
        <v>0</v>
      </c>
      <c r="L747" s="26"/>
      <c r="M747" s="26"/>
      <c r="N747" s="26"/>
      <c r="O747" s="1360"/>
      <c r="P747" s="1374">
        <v>11</v>
      </c>
      <c r="Q747" s="1375">
        <v>11</v>
      </c>
      <c r="R747" s="1351" t="b">
        <f>IF(AND(F747&gt;=P747,F747&lt;=Q747),TRUE,FALSE)</f>
        <v>0</v>
      </c>
      <c r="S747" s="1374">
        <v>11</v>
      </c>
      <c r="T747" s="1375">
        <v>11</v>
      </c>
      <c r="U747" s="1351" t="b">
        <f>IF(AND(F747&gt;=S747,F747&lt;=T747),TRUE,FALSE)</f>
        <v>0</v>
      </c>
      <c r="V747" s="32"/>
      <c r="W747" s="821"/>
      <c r="X747" s="822"/>
      <c r="Y747" s="821"/>
      <c r="Z747" s="822"/>
      <c r="AA747" s="821"/>
      <c r="AB747" s="822"/>
      <c r="AD747" s="10"/>
      <c r="AE747" s="10"/>
      <c r="AF747" s="10"/>
      <c r="AG747" s="832">
        <f>IF($K747=TRUE,H747,0)</f>
        <v>0</v>
      </c>
      <c r="AH747" s="832">
        <f>IF($R747=TRUE,H747,0)</f>
        <v>0</v>
      </c>
      <c r="AI747" s="832">
        <f>IF($U747=TRUE,H747,0)</f>
        <v>0</v>
      </c>
      <c r="AJ747" s="1490">
        <f t="shared" ref="AJ747:AJ748" si="1518">IF(OR(I747=11,A747="F"),0,G747*I747)</f>
        <v>0</v>
      </c>
      <c r="AK747" s="1490">
        <f t="shared" ref="AK747:AK748" si="1519">IF(OR(J747=11,A747="F"),0,G747*J747)</f>
        <v>0</v>
      </c>
      <c r="AL747" s="1490">
        <f t="shared" ref="AL747:AL748" si="1520">IF(OR(P747=11,A747="F"),0,G747*P747)</f>
        <v>0</v>
      </c>
      <c r="AM747" s="1490">
        <f t="shared" ref="AM747:AM748" si="1521">IF(OR(Q747=11,A747="F"),0,G747*Q747)</f>
        <v>0</v>
      </c>
      <c r="AN747" s="1490">
        <f t="shared" ref="AN747:AN748" si="1522">IF(OR(S747=11,A747="F"),0,S747*G747)</f>
        <v>0</v>
      </c>
      <c r="AO747" s="1490">
        <f t="shared" ref="AO747:AO748" si="1523">IF(OR(T747=11,A747="F"),0,T747*G747)</f>
        <v>0</v>
      </c>
    </row>
    <row r="748" spans="1:78" ht="20" thickBot="1" x14ac:dyDescent="0.25">
      <c r="B748" s="1700"/>
      <c r="C748" s="825"/>
      <c r="D748" s="829"/>
      <c r="E748" s="826"/>
      <c r="F748" s="830"/>
      <c r="G748" s="830"/>
      <c r="H748" s="830">
        <f>F748*G748</f>
        <v>0</v>
      </c>
      <c r="I748" s="1374">
        <v>11</v>
      </c>
      <c r="J748" s="1375">
        <v>11</v>
      </c>
      <c r="K748" s="31" t="b">
        <f>IF(AND(F748&gt;=I748,F748&lt;=J748),TRUE,FALSE)</f>
        <v>0</v>
      </c>
      <c r="L748" s="26"/>
      <c r="M748" s="26"/>
      <c r="N748" s="26"/>
      <c r="O748" s="1360"/>
      <c r="P748" s="1374">
        <v>11</v>
      </c>
      <c r="Q748" s="1375">
        <v>11</v>
      </c>
      <c r="R748" s="1351" t="b">
        <f>IF(AND(F748&gt;=P748,F748&lt;=Q748),TRUE,FALSE)</f>
        <v>0</v>
      </c>
      <c r="S748" s="1374">
        <v>11</v>
      </c>
      <c r="T748" s="1375">
        <v>11</v>
      </c>
      <c r="U748" s="1351" t="b">
        <f>IF(AND(F748&gt;=S748,F748&lt;=T748),TRUE,FALSE)</f>
        <v>0</v>
      </c>
      <c r="W748" s="821"/>
      <c r="X748" s="822"/>
      <c r="Y748" s="821"/>
      <c r="Z748" s="822"/>
      <c r="AA748" s="821"/>
      <c r="AB748" s="822"/>
      <c r="AD748" s="10"/>
      <c r="AE748" s="10"/>
      <c r="AF748" s="10"/>
      <c r="AG748" s="832">
        <f>IF($K748=TRUE,H748,0)</f>
        <v>0</v>
      </c>
      <c r="AH748" s="832">
        <f>IF($R748=TRUE,H748,0)</f>
        <v>0</v>
      </c>
      <c r="AI748" s="832">
        <f>IF($U748=TRUE,H748,0)</f>
        <v>0</v>
      </c>
      <c r="AJ748" s="1490">
        <f t="shared" si="1518"/>
        <v>0</v>
      </c>
      <c r="AK748" s="1490">
        <f t="shared" si="1519"/>
        <v>0</v>
      </c>
      <c r="AL748" s="1490">
        <f t="shared" si="1520"/>
        <v>0</v>
      </c>
      <c r="AM748" s="1490">
        <f t="shared" si="1521"/>
        <v>0</v>
      </c>
      <c r="AN748" s="1490">
        <f t="shared" si="1522"/>
        <v>0</v>
      </c>
      <c r="AO748" s="1490">
        <f t="shared" si="1523"/>
        <v>0</v>
      </c>
    </row>
    <row r="749" spans="1:78" ht="27" thickBot="1" x14ac:dyDescent="0.35">
      <c r="D749" s="16"/>
      <c r="E749" s="16"/>
      <c r="F749" s="67"/>
      <c r="G749" s="438"/>
      <c r="H749" s="33">
        <f>IF(AND(K747=TRUE,K748=FALSE),H747,IF(AND(K747=FALSE,K748=TRUE),H748,MAX(H747,H748)))</f>
        <v>0</v>
      </c>
      <c r="I749" s="1371"/>
      <c r="J749" s="1372"/>
      <c r="K749" s="1378" t="b">
        <f>IF(AND(K747=FALSE,K748=FALSE),FALSE,TRUE)</f>
        <v>0</v>
      </c>
      <c r="L749" s="1361"/>
      <c r="M749" s="1362"/>
      <c r="N749" s="1362"/>
      <c r="O749" s="1363"/>
      <c r="P749" s="1371"/>
      <c r="Q749" s="1372"/>
      <c r="R749" s="1378" t="b">
        <f>IF(AND(R747=FALSE,R748=FALSE),FALSE,TRUE)</f>
        <v>0</v>
      </c>
      <c r="S749" s="1383"/>
      <c r="T749" s="1384"/>
      <c r="U749" s="1385" t="b">
        <f>IF(AND(U747=FALSE,U748=FALSE),FALSE,TRUE)</f>
        <v>0</v>
      </c>
      <c r="V749" s="809"/>
      <c r="W749" s="1315" t="str">
        <f>IF(K749=TRUE,"V","F")</f>
        <v>F</v>
      </c>
      <c r="X749" s="1316"/>
      <c r="Y749" s="1315" t="str">
        <f>IF(R749=TRUE,"V","F")</f>
        <v>F</v>
      </c>
      <c r="Z749" s="1316"/>
      <c r="AA749" s="1315" t="str">
        <f>IF(U749=TRUE,"V","F")</f>
        <v>F</v>
      </c>
      <c r="AB749" s="1316"/>
      <c r="AD749" s="10"/>
      <c r="AE749" s="10"/>
      <c r="AF749" s="10"/>
      <c r="AG749" s="1742">
        <f>IF(AND($K747=TRUE,$K748=FALSE),AG747,IF(AND($K747=FALSE,$K748=TRUE),AG748,MAX(AG747,AG748)))</f>
        <v>0</v>
      </c>
      <c r="AH749" s="1742">
        <f>IF(AND($R747=TRUE,$R748=FALSE),AH747,IF(AND($R747=FALSE,$R748=TRUE),AH748,MAX(AH747,AH748)))</f>
        <v>0</v>
      </c>
      <c r="AI749" s="1742">
        <f>IF(AND($U747=TRUE,$U748=FALSE),AI747,IF(AND($U747=FALSE,$U748=TRUE),AI748,MAX(AI747,AI748)))</f>
        <v>0</v>
      </c>
      <c r="AJ749" s="1742">
        <f>IF(AND($K747=TRUE,$K748=FALSE),AJ747,IF(AND($K747=FALSE,$K748=TRUE),AJ748,MAX(AJ747,AJ748)))</f>
        <v>0</v>
      </c>
      <c r="AK749" s="1742">
        <f>IF(AND($K747=TRUE,$K748=FALSE),AK747,IF(AND($K747=FALSE,$K748=TRUE),AK748,MAX(AK747,AK748)))</f>
        <v>0</v>
      </c>
      <c r="AL749" s="1742">
        <f>IF(AND($R747=TRUE,$R748=FALSE),AL747,IF(AND($R747=FALSE,$R748=TRUE),AL748,MAX(AL747,AL748)))</f>
        <v>0</v>
      </c>
      <c r="AM749" s="1742">
        <f>IF(AND($R747=TRUE,$R748=FALSE),AM747,IF(AND($R747=FALSE,$R748=TRUE),AM748,MAX(AM747,AM748)))</f>
        <v>0</v>
      </c>
      <c r="AN749" s="1742">
        <f>IF(AND($U747=TRUE,$U748=FALSE),AN747,IF(AND($U747=FALSE,$U748=TRUE),AN748,MAX(AN747,AN748)))</f>
        <v>0</v>
      </c>
      <c r="AO749" s="1742">
        <f>IF(AND($U747=TRUE,$U748=FALSE),AO747,IF(AND($U747=FALSE,$U748=TRUE),AO748,MAX(AO747,AO748)))</f>
        <v>0</v>
      </c>
    </row>
    <row r="750" spans="1:78" ht="21" x14ac:dyDescent="0.25">
      <c r="B750" s="1700"/>
      <c r="W750" s="1376"/>
      <c r="X750" s="1377">
        <f>IF(AND(W749="V",W741="V"),X745-1,X745)</f>
        <v>0</v>
      </c>
      <c r="Y750" s="1376"/>
      <c r="Z750" s="1377">
        <f>IF(OR(Y741="V",Y744="V",Y749="V"),1,0)</f>
        <v>1</v>
      </c>
      <c r="AA750" s="1376"/>
      <c r="AB750" s="1377">
        <f>IF(AA741="V",1,IF(AA749="V",1,0))</f>
        <v>0</v>
      </c>
      <c r="AD750" s="10">
        <f>X750</f>
        <v>0</v>
      </c>
      <c r="AE750" s="10">
        <f>Z750</f>
        <v>1</v>
      </c>
      <c r="AF750" s="10">
        <f>AB750</f>
        <v>0</v>
      </c>
      <c r="AG750" s="1741">
        <f>IF($W749="F",AG745,AG745+AG749)</f>
        <v>0</v>
      </c>
      <c r="AH750" s="1741">
        <f>IF($Y749="F",AH745,AH745+AH749)</f>
        <v>4</v>
      </c>
      <c r="AI750" s="1741">
        <f>IF(AND($AA741="V",$AA749="F"),AI741,IF(AND($AA741="F",$AA749="V"),AI749,IF(AND($AA741="V",$AA749="V"),AI741+AI749,0)))</f>
        <v>0</v>
      </c>
      <c r="AJ750" s="1741">
        <f>IF($W749="F",AJ745,AJ745+AJ749)</f>
        <v>0</v>
      </c>
      <c r="AK750" s="1741">
        <f>IF($W749="F",AK745,AK745+AK749)</f>
        <v>0</v>
      </c>
      <c r="AL750" s="1741">
        <f t="shared" ref="AL750:AM750" si="1524">IF($Y749="F",AL745,AL745+AL749)</f>
        <v>4</v>
      </c>
      <c r="AM750" s="1741">
        <f t="shared" si="1524"/>
        <v>14</v>
      </c>
      <c r="AN750" s="1741">
        <f t="shared" ref="AN750:AO750" si="1525">IF(AND($AA741="V",$AA749="F"),AN741,IF(AND($AA741="F",$AA749="V"),AN749,IF(AND($AA741="V",$AA749="V"),AN741+AN749,0)))</f>
        <v>0</v>
      </c>
      <c r="AO750" s="1741">
        <f t="shared" si="1525"/>
        <v>0</v>
      </c>
    </row>
    <row r="751" spans="1:78" ht="21" x14ac:dyDescent="0.25">
      <c r="B751" s="1700"/>
      <c r="W751" s="2034"/>
      <c r="X751" s="2034"/>
      <c r="Y751" s="2034"/>
      <c r="Z751" s="2034"/>
      <c r="AA751" s="2034"/>
      <c r="AB751" s="2034"/>
      <c r="AG751" s="5"/>
      <c r="AH751" s="5"/>
      <c r="AI751" s="5"/>
    </row>
    <row r="752" spans="1:78" x14ac:dyDescent="0.3">
      <c r="B752" s="1699">
        <v>30</v>
      </c>
      <c r="D752" s="441" t="str">
        <f>'Cpts AR +indép + Sommaire'!B108</f>
        <v>Changement des ses valeurs</v>
      </c>
      <c r="E752" s="84"/>
      <c r="F752" s="50"/>
      <c r="G752" s="18"/>
      <c r="H752" s="18"/>
      <c r="I752" s="2595" t="s">
        <v>604</v>
      </c>
      <c r="J752" s="2596"/>
      <c r="K752" s="2596"/>
      <c r="L752" s="2597" t="s">
        <v>1086</v>
      </c>
      <c r="M752" s="2597"/>
      <c r="N752" s="2597"/>
      <c r="O752" s="2598"/>
      <c r="P752" s="2599" t="s">
        <v>603</v>
      </c>
      <c r="Q752" s="2600"/>
      <c r="R752" s="2601"/>
      <c r="S752" s="2590" t="s">
        <v>605</v>
      </c>
      <c r="T752" s="2591"/>
      <c r="U752" s="2592"/>
      <c r="V752" s="15"/>
      <c r="W752" s="817"/>
      <c r="X752" s="817"/>
      <c r="Y752" s="817"/>
      <c r="Z752" s="817"/>
      <c r="AA752" s="817"/>
      <c r="AB752" s="818"/>
      <c r="AD752" s="10"/>
      <c r="AE752" s="10"/>
      <c r="AF752" s="10"/>
      <c r="AG752" s="1386" t="s">
        <v>604</v>
      </c>
      <c r="AH752" s="1386" t="s">
        <v>603</v>
      </c>
      <c r="AI752" s="1386" t="s">
        <v>605</v>
      </c>
      <c r="AJ752" s="2589" t="s">
        <v>604</v>
      </c>
      <c r="AK752" s="2589"/>
      <c r="AL752" s="2589" t="s">
        <v>603</v>
      </c>
      <c r="AM752" s="2589"/>
      <c r="AN752" s="2589" t="s">
        <v>605</v>
      </c>
      <c r="AO752" s="2589"/>
    </row>
    <row r="753" spans="1:41" ht="34" x14ac:dyDescent="0.2">
      <c r="B753" s="1700"/>
      <c r="D753" s="79" t="s">
        <v>779</v>
      </c>
      <c r="E753" s="835" t="s">
        <v>778</v>
      </c>
      <c r="F753" s="26" t="s">
        <v>226</v>
      </c>
      <c r="G753" s="26" t="s">
        <v>22</v>
      </c>
      <c r="H753" s="26" t="s">
        <v>612</v>
      </c>
      <c r="I753" s="1348" t="s">
        <v>269</v>
      </c>
      <c r="J753" s="29" t="s">
        <v>270</v>
      </c>
      <c r="K753" s="29" t="s">
        <v>271</v>
      </c>
      <c r="L753" s="29" t="s">
        <v>363</v>
      </c>
      <c r="M753" s="29" t="s">
        <v>339</v>
      </c>
      <c r="N753" s="29" t="s">
        <v>340</v>
      </c>
      <c r="O753" s="1349" t="s">
        <v>341</v>
      </c>
      <c r="P753" s="1348" t="s">
        <v>269</v>
      </c>
      <c r="Q753" s="29" t="s">
        <v>270</v>
      </c>
      <c r="R753" s="1349" t="s">
        <v>271</v>
      </c>
      <c r="S753" s="1348" t="s">
        <v>269</v>
      </c>
      <c r="T753" s="29" t="s">
        <v>270</v>
      </c>
      <c r="U753" s="1349" t="s">
        <v>271</v>
      </c>
      <c r="V753" s="736"/>
      <c r="W753" s="827" t="s">
        <v>604</v>
      </c>
      <c r="X753" s="828" t="s">
        <v>754</v>
      </c>
      <c r="Y753" s="827" t="s">
        <v>603</v>
      </c>
      <c r="Z753" s="828" t="s">
        <v>755</v>
      </c>
      <c r="AA753" s="827" t="s">
        <v>605</v>
      </c>
      <c r="AB753" s="828" t="s">
        <v>756</v>
      </c>
      <c r="AD753" s="10"/>
      <c r="AE753" s="10"/>
      <c r="AF753" s="10"/>
      <c r="AG753" s="10"/>
      <c r="AH753" s="10"/>
      <c r="AI753" s="10"/>
      <c r="AJ753" s="1490" t="s">
        <v>1058</v>
      </c>
      <c r="AK753" s="1490" t="s">
        <v>1059</v>
      </c>
      <c r="AL753" s="1490" t="s">
        <v>1058</v>
      </c>
      <c r="AM753" s="1490" t="s">
        <v>1059</v>
      </c>
      <c r="AN753" s="1490" t="s">
        <v>1058</v>
      </c>
      <c r="AO753" s="1490" t="s">
        <v>1059</v>
      </c>
    </row>
    <row r="754" spans="1:41" ht="16" x14ac:dyDescent="0.2">
      <c r="B754" s="1700"/>
      <c r="C754" s="379">
        <f>'Cpts AR +indép + Sommaire'!C332</f>
        <v>0</v>
      </c>
      <c r="D754" s="25">
        <f>'Cpts AR +indép + Sommaire'!D332</f>
        <v>0</v>
      </c>
      <c r="E754" s="78"/>
      <c r="F754" s="709">
        <f>'Cpts AR +indép + Sommaire'!E332</f>
        <v>0</v>
      </c>
      <c r="G754" s="709">
        <f>'Cpts AR +indép + Sommaire'!F332</f>
        <v>0</v>
      </c>
      <c r="H754" s="709">
        <f>F754*G754</f>
        <v>0</v>
      </c>
      <c r="I754" s="1374">
        <v>11</v>
      </c>
      <c r="J754" s="1375">
        <v>11</v>
      </c>
      <c r="K754" s="31" t="b">
        <f>IF(AND(F754&gt;=I754,F754&lt;=J754),TRUE,FALSE)</f>
        <v>0</v>
      </c>
      <c r="L754" s="31"/>
      <c r="M754" s="31"/>
      <c r="N754" s="31"/>
      <c r="O754" s="1351"/>
      <c r="P754" s="1374">
        <v>11</v>
      </c>
      <c r="Q754" s="1375">
        <v>11</v>
      </c>
      <c r="R754" s="1351" t="b">
        <f>IF(AND(F754&gt;=P754,F754&lt;=Q754),TRUE,FALSE)</f>
        <v>0</v>
      </c>
      <c r="S754" s="1374">
        <v>11</v>
      </c>
      <c r="T754" s="1375">
        <v>11</v>
      </c>
      <c r="U754" s="1351" t="b">
        <f>IF(AND(F754&gt;=S754,F754&lt;=T754),TRUE,FALSE)</f>
        <v>0</v>
      </c>
      <c r="V754" s="807"/>
      <c r="W754" s="819"/>
      <c r="X754" s="820"/>
      <c r="Y754" s="819"/>
      <c r="Z754" s="820"/>
      <c r="AA754" s="819"/>
      <c r="AB754" s="820"/>
      <c r="AD754" s="10"/>
      <c r="AE754" s="10"/>
      <c r="AF754" s="10"/>
      <c r="AG754" s="832">
        <f>IF($K754=TRUE,H754,0)</f>
        <v>0</v>
      </c>
      <c r="AH754" s="832">
        <f>IF($R754=TRUE,H754,0)</f>
        <v>0</v>
      </c>
      <c r="AI754" s="832">
        <f>IF($U754=TRUE,H754,0)</f>
        <v>0</v>
      </c>
      <c r="AJ754" s="1490">
        <f t="shared" ref="AJ754:AJ755" si="1526">IF(OR(I754=11,A754="F"),0,G754*I754)</f>
        <v>0</v>
      </c>
      <c r="AK754" s="1490">
        <f t="shared" ref="AK754:AK755" si="1527">IF(OR(J754=11,A754="F"),0,G754*J754)</f>
        <v>0</v>
      </c>
      <c r="AL754" s="1490">
        <f t="shared" ref="AL754:AL755" si="1528">IF(OR(P754=11,A754="F"),0,G754*P754)</f>
        <v>0</v>
      </c>
      <c r="AM754" s="1490">
        <f t="shared" ref="AM754:AM755" si="1529">IF(OR(Q754=11,A754="F"),0,G754*Q754)</f>
        <v>0</v>
      </c>
      <c r="AN754" s="1490">
        <f t="shared" ref="AN754:AN755" si="1530">IF(OR(S754=11,A754="F"),0,S754*G754)</f>
        <v>0</v>
      </c>
      <c r="AO754" s="1490">
        <f t="shared" ref="AO754:AO755" si="1531">IF(OR(T754=11,A754="F"),0,T754*G754)</f>
        <v>0</v>
      </c>
    </row>
    <row r="755" spans="1:41" ht="16" x14ac:dyDescent="0.2">
      <c r="B755" s="1700"/>
      <c r="C755" s="379">
        <f>'Cpts AR +indép + Sommaire'!C333</f>
        <v>0</v>
      </c>
      <c r="D755" s="25">
        <f>'Cpts AR +indép + Sommaire'!D333</f>
        <v>0</v>
      </c>
      <c r="E755" s="78"/>
      <c r="F755" s="709">
        <f>'Cpts AR +indép + Sommaire'!E333</f>
        <v>0</v>
      </c>
      <c r="G755" s="709">
        <f>'Cpts AR +indép + Sommaire'!F333</f>
        <v>0</v>
      </c>
      <c r="H755" s="709">
        <f>F755*G755</f>
        <v>0</v>
      </c>
      <c r="I755" s="1374">
        <v>11</v>
      </c>
      <c r="J755" s="1375">
        <v>11</v>
      </c>
      <c r="K755" s="31" t="b">
        <f>IF(AND(F755&gt;=I755,F755&lt;=J755),TRUE,FALSE)</f>
        <v>0</v>
      </c>
      <c r="L755" s="31"/>
      <c r="M755" s="31"/>
      <c r="N755" s="31"/>
      <c r="O755" s="1351"/>
      <c r="P755" s="1374">
        <v>11</v>
      </c>
      <c r="Q755" s="1375">
        <v>11</v>
      </c>
      <c r="R755" s="1351" t="b">
        <f>IF(AND(F755&gt;=P755,F755&lt;=Q755),TRUE,FALSE)</f>
        <v>0</v>
      </c>
      <c r="S755" s="1374">
        <v>11</v>
      </c>
      <c r="T755" s="1375">
        <v>11</v>
      </c>
      <c r="U755" s="1351" t="b">
        <f>IF(AND(F755&gt;=S755,F755&lt;=T755),TRUE,FALSE)</f>
        <v>0</v>
      </c>
      <c r="V755" s="807"/>
      <c r="W755" s="821"/>
      <c r="X755" s="822"/>
      <c r="Y755" s="821"/>
      <c r="Z755" s="822"/>
      <c r="AA755" s="821"/>
      <c r="AB755" s="822"/>
      <c r="AD755" s="10"/>
      <c r="AE755" s="10"/>
      <c r="AF755" s="10"/>
      <c r="AG755" s="832">
        <f>IF($K755=TRUE,H755,0)</f>
        <v>0</v>
      </c>
      <c r="AH755" s="832">
        <f>IF($R755=TRUE,H755,0)</f>
        <v>0</v>
      </c>
      <c r="AI755" s="832">
        <f>IF($U755=TRUE,H755,0)</f>
        <v>0</v>
      </c>
      <c r="AJ755" s="1490">
        <f t="shared" si="1526"/>
        <v>0</v>
      </c>
      <c r="AK755" s="1490">
        <f t="shared" si="1527"/>
        <v>0</v>
      </c>
      <c r="AL755" s="1490">
        <f t="shared" si="1528"/>
        <v>0</v>
      </c>
      <c r="AM755" s="1490">
        <f t="shared" si="1529"/>
        <v>0</v>
      </c>
      <c r="AN755" s="1490">
        <f t="shared" si="1530"/>
        <v>0</v>
      </c>
      <c r="AO755" s="1490">
        <f t="shared" si="1531"/>
        <v>0</v>
      </c>
    </row>
    <row r="756" spans="1:41" ht="16" x14ac:dyDescent="0.2">
      <c r="B756" s="1700"/>
      <c r="C756" s="710" t="s">
        <v>609</v>
      </c>
      <c r="D756" s="711">
        <f>_xlfn.XLOOKUP(H756,H754:H755,D754:D755)</f>
        <v>0</v>
      </c>
      <c r="E756" s="712">
        <f>_xlfn.XLOOKUP(H756,H754:H755,E754:E755)</f>
        <v>0</v>
      </c>
      <c r="F756" s="713"/>
      <c r="G756" s="713"/>
      <c r="H756" s="713">
        <f>IF(AND(K754=TRUE,K755=FALSE),H754,IF(AND(K754=FALSE,K755=TRUE),H755,MAX(H754,H755)))</f>
        <v>0</v>
      </c>
      <c r="I756" s="1352"/>
      <c r="J756" s="714"/>
      <c r="K756" s="715" t="b">
        <f>IF(AND(K754=FALSE,K755=FALSE),FALSE,TRUE)</f>
        <v>0</v>
      </c>
      <c r="L756" s="31"/>
      <c r="M756" s="31"/>
      <c r="N756" s="31"/>
      <c r="O756" s="1351"/>
      <c r="P756" s="1352"/>
      <c r="Q756" s="714"/>
      <c r="R756" s="1365" t="b">
        <f>IF(AND(R754=FALSE,R755=FALSE),FALSE,TRUE)</f>
        <v>0</v>
      </c>
      <c r="S756" s="1352"/>
      <c r="T756" s="714"/>
      <c r="U756" s="1365" t="b">
        <f>IF(AND(U754=FALSE,U755=FALSE),FALSE,TRUE)</f>
        <v>0</v>
      </c>
      <c r="V756" s="807"/>
      <c r="W756" s="821"/>
      <c r="X756" s="822"/>
      <c r="Y756" s="821"/>
      <c r="Z756" s="822"/>
      <c r="AA756" s="821"/>
      <c r="AB756" s="822"/>
      <c r="AD756" s="10"/>
      <c r="AE756" s="10"/>
      <c r="AF756" s="10"/>
      <c r="AG756" s="1740">
        <f>IF($K756=TRUE,MAX(AG754:AG755),0)</f>
        <v>0</v>
      </c>
      <c r="AH756" s="1740">
        <f>IF($R756=TRUE,MAX(AH754:AH755),0)</f>
        <v>0</v>
      </c>
      <c r="AI756" s="1740">
        <f>IF($U756=TRUE,MAX(AI754:AI755),0)</f>
        <v>0</v>
      </c>
      <c r="AJ756" s="1739">
        <f>MAX(AJ754:AJ755)</f>
        <v>0</v>
      </c>
      <c r="AK756" s="1739">
        <f t="shared" ref="AK756:AO756" si="1532">MAX(AK754:AK755)</f>
        <v>0</v>
      </c>
      <c r="AL756" s="1739">
        <f t="shared" si="1532"/>
        <v>0</v>
      </c>
      <c r="AM756" s="1739">
        <f t="shared" si="1532"/>
        <v>0</v>
      </c>
      <c r="AN756" s="1739">
        <f t="shared" si="1532"/>
        <v>0</v>
      </c>
      <c r="AO756" s="1739">
        <f t="shared" si="1532"/>
        <v>0</v>
      </c>
    </row>
    <row r="757" spans="1:41" ht="16" x14ac:dyDescent="0.2">
      <c r="B757" s="1700"/>
      <c r="C757" s="38" t="s">
        <v>242</v>
      </c>
      <c r="D757" s="25"/>
      <c r="E757" s="78"/>
      <c r="F757" s="709"/>
      <c r="G757" s="708"/>
      <c r="H757" s="709">
        <f>F757*G757</f>
        <v>0</v>
      </c>
      <c r="I757" s="1374">
        <v>11</v>
      </c>
      <c r="J757" s="1375">
        <v>11</v>
      </c>
      <c r="K757" s="31" t="b">
        <f>IF(AND(F757&gt;=I757,F757&lt;=J757),TRUE,FALSE)</f>
        <v>0</v>
      </c>
      <c r="L757" s="31"/>
      <c r="M757" s="31"/>
      <c r="N757" s="31"/>
      <c r="O757" s="1351"/>
      <c r="P757" s="1374">
        <v>11</v>
      </c>
      <c r="Q757" s="1375">
        <v>11</v>
      </c>
      <c r="R757" s="1351" t="b">
        <f>IF(AND(F757&gt;=P757,F757&lt;=Q757),TRUE,FALSE)</f>
        <v>0</v>
      </c>
      <c r="S757" s="1374">
        <v>11</v>
      </c>
      <c r="T757" s="1375">
        <v>11</v>
      </c>
      <c r="U757" s="1351" t="b">
        <f>IF(AND(F757&gt;=S757,F757&lt;=T757),TRUE,FALSE)</f>
        <v>0</v>
      </c>
      <c r="V757" s="807"/>
      <c r="W757" s="821"/>
      <c r="X757" s="822"/>
      <c r="Y757" s="821"/>
      <c r="Z757" s="822"/>
      <c r="AA757" s="821"/>
      <c r="AB757" s="822"/>
      <c r="AD757" s="10"/>
      <c r="AE757" s="10"/>
      <c r="AF757" s="10"/>
      <c r="AG757" s="832">
        <f>IF(K757=TRUE,H757,0)</f>
        <v>0</v>
      </c>
      <c r="AH757" s="832">
        <f>IF(R757=TRUE,H757,0)</f>
        <v>0</v>
      </c>
      <c r="AI757" s="832">
        <f>IF(U757=TRUE,H757,0)</f>
        <v>0</v>
      </c>
      <c r="AJ757" s="1490">
        <f t="shared" ref="AJ757:AJ758" si="1533">IF(OR(I757=11,A757="F"),0,G757*I757)</f>
        <v>0</v>
      </c>
      <c r="AK757" s="1490">
        <f t="shared" ref="AK757:AK758" si="1534">IF(OR(J757=11,A757="F"),0,G757*J757)</f>
        <v>0</v>
      </c>
      <c r="AL757" s="1490">
        <f t="shared" ref="AL757:AL758" si="1535">IF(OR(P757=11,A757="F"),0,G757*P757)</f>
        <v>0</v>
      </c>
      <c r="AM757" s="1490">
        <f t="shared" ref="AM757:AM758" si="1536">IF(OR(Q757=11,A757="F"),0,G757*Q757)</f>
        <v>0</v>
      </c>
      <c r="AN757" s="1490">
        <f t="shared" ref="AN757:AN758" si="1537">IF(OR(S757=11,A757="F"),0,S757*G757)</f>
        <v>0</v>
      </c>
      <c r="AO757" s="1490">
        <f t="shared" ref="AO757:AO758" si="1538">IF(OR(T757=11,A757="F"),0,T757*G757)</f>
        <v>0</v>
      </c>
    </row>
    <row r="758" spans="1:41" ht="16" x14ac:dyDescent="0.2">
      <c r="B758" s="1700"/>
      <c r="C758" s="38" t="s">
        <v>242</v>
      </c>
      <c r="D758" s="25"/>
      <c r="E758" s="48"/>
      <c r="F758" s="27"/>
      <c r="G758" s="27"/>
      <c r="H758" s="27">
        <f>F758*G758</f>
        <v>0</v>
      </c>
      <c r="I758" s="1374">
        <v>11</v>
      </c>
      <c r="J758" s="1375">
        <v>11</v>
      </c>
      <c r="K758" s="31" t="b">
        <f>IF(AND(F758&gt;=I758,F758&lt;=J758),TRUE,FALSE)</f>
        <v>0</v>
      </c>
      <c r="L758" s="31"/>
      <c r="M758" s="31"/>
      <c r="N758" s="31"/>
      <c r="O758" s="1351"/>
      <c r="P758" s="1374">
        <v>11</v>
      </c>
      <c r="Q758" s="1375">
        <v>11</v>
      </c>
      <c r="R758" s="1351" t="b">
        <f>IF(AND(F758&gt;=P758,F758&lt;=Q758),TRUE,FALSE)</f>
        <v>0</v>
      </c>
      <c r="S758" s="1374">
        <v>11</v>
      </c>
      <c r="T758" s="1375">
        <v>11</v>
      </c>
      <c r="U758" s="1351" t="b">
        <f>IF(AND(F758&gt;=S758,F758&lt;=T758),TRUE,FALSE)</f>
        <v>0</v>
      </c>
      <c r="V758" s="807"/>
      <c r="W758" s="821"/>
      <c r="X758" s="822"/>
      <c r="Y758" s="821"/>
      <c r="Z758" s="822"/>
      <c r="AA758" s="821"/>
      <c r="AB758" s="822"/>
      <c r="AD758" s="10"/>
      <c r="AE758" s="10"/>
      <c r="AF758" s="10"/>
      <c r="AG758" s="832">
        <f>IF(K758=TRUE,H758,0)</f>
        <v>0</v>
      </c>
      <c r="AH758" s="832">
        <f>IF(R758=TRUE,H758,0)</f>
        <v>0</v>
      </c>
      <c r="AI758" s="832">
        <f>IF(U758=TRUE,H758,0)</f>
        <v>0</v>
      </c>
      <c r="AJ758" s="1490">
        <f t="shared" si="1533"/>
        <v>0</v>
      </c>
      <c r="AK758" s="1490">
        <f t="shared" si="1534"/>
        <v>0</v>
      </c>
      <c r="AL758" s="1490">
        <f t="shared" si="1535"/>
        <v>0</v>
      </c>
      <c r="AM758" s="1490">
        <f t="shared" si="1536"/>
        <v>0</v>
      </c>
      <c r="AN758" s="1490">
        <f t="shared" si="1537"/>
        <v>0</v>
      </c>
      <c r="AO758" s="1490">
        <f t="shared" si="1538"/>
        <v>0</v>
      </c>
    </row>
    <row r="759" spans="1:41" ht="17" thickBot="1" x14ac:dyDescent="0.25">
      <c r="B759" s="1700"/>
      <c r="C759" s="716" t="s">
        <v>610</v>
      </c>
      <c r="D759" s="717">
        <f>_xlfn.XLOOKUP(H759,H757:H758,D757:D758)</f>
        <v>0</v>
      </c>
      <c r="E759" s="718">
        <f>_xlfn.XLOOKUP(H759,H757:H758,E757:E758)</f>
        <v>0</v>
      </c>
      <c r="F759" s="719"/>
      <c r="G759" s="719"/>
      <c r="H759" s="713">
        <f>IF(AND(K757=TRUE,K758=FALSE),H757,IF(AND(K757=FALSE,K758=TRUE),H758,MAX(H757,H758)))</f>
        <v>0</v>
      </c>
      <c r="I759" s="1353"/>
      <c r="J759" s="720"/>
      <c r="K759" s="721" t="b">
        <f>IF(AND(K757=FALSE,K758=FALSE),FALSE,TRUE)</f>
        <v>0</v>
      </c>
      <c r="L759" s="31"/>
      <c r="M759" s="31"/>
      <c r="N759" s="31"/>
      <c r="O759" s="1351"/>
      <c r="P759" s="1353"/>
      <c r="Q759" s="720"/>
      <c r="R759" s="1366" t="b">
        <f>IF(AND(R757=FALSE,R758=FALSE),FALSE,TRUE)</f>
        <v>0</v>
      </c>
      <c r="S759" s="1353"/>
      <c r="T759" s="720"/>
      <c r="U759" s="1366" t="b">
        <f>IF(AND(U757=FALSE,U758=FALSE),FALSE,TRUE)</f>
        <v>0</v>
      </c>
      <c r="V759" s="807"/>
      <c r="W759" s="821"/>
      <c r="X759" s="822"/>
      <c r="Y759" s="821"/>
      <c r="Z759" s="822"/>
      <c r="AA759" s="821"/>
      <c r="AB759" s="822"/>
      <c r="AD759" s="10"/>
      <c r="AE759" s="10"/>
      <c r="AF759" s="10"/>
      <c r="AG759" s="1740">
        <f>IF($K759=TRUE,MAX(AG757:AG758),0)</f>
        <v>0</v>
      </c>
      <c r="AH759" s="1740">
        <f>IF($R759=TRUE,MAX(AH757:AH758),0)</f>
        <v>0</v>
      </c>
      <c r="AI759" s="1740">
        <f>IF($U759=TRUE,MAX(AI757:AI758),0)</f>
        <v>0</v>
      </c>
      <c r="AJ759" s="1739">
        <f>MAX(AJ757:AJ758)</f>
        <v>0</v>
      </c>
      <c r="AK759" s="1739">
        <f t="shared" ref="AK759:AO759" si="1539">MAX(AK757:AK758)</f>
        <v>0</v>
      </c>
      <c r="AL759" s="1739">
        <f t="shared" si="1539"/>
        <v>0</v>
      </c>
      <c r="AM759" s="1739">
        <f t="shared" si="1539"/>
        <v>0</v>
      </c>
      <c r="AN759" s="1739">
        <f t="shared" si="1539"/>
        <v>0</v>
      </c>
      <c r="AO759" s="1739">
        <f t="shared" si="1539"/>
        <v>0</v>
      </c>
    </row>
    <row r="760" spans="1:41" ht="35" thickBot="1" x14ac:dyDescent="0.25">
      <c r="B760" s="1700"/>
      <c r="C760" s="722" t="s">
        <v>616</v>
      </c>
      <c r="D760" s="723"/>
      <c r="E760" s="723">
        <f>IF(H760=H756,E756,E759)</f>
        <v>0</v>
      </c>
      <c r="F760" s="724"/>
      <c r="G760" s="724"/>
      <c r="H760" s="724">
        <f>IF(AND(K756=TRUE,K759=FALSE),H756,IF(AND(K756=FALSE,K759=TRUE),H759,IF(AND(K756=TRUE,K759=TRUE),H756+H759,MAX(H756,H759))))</f>
        <v>0</v>
      </c>
      <c r="I760" s="1354"/>
      <c r="J760" s="725"/>
      <c r="K760" s="726" t="b">
        <f>IF(AND(K756=FALSE,K759=FALSE),FALSE,TRUE)</f>
        <v>0</v>
      </c>
      <c r="L760" s="1338"/>
      <c r="M760" s="1338"/>
      <c r="N760" s="1338"/>
      <c r="O760" s="1355"/>
      <c r="P760" s="1354"/>
      <c r="Q760" s="725"/>
      <c r="R760" s="726" t="b">
        <f>IF(AND(R756=FALSE,R759=FALSE),FALSE,TRUE)</f>
        <v>0</v>
      </c>
      <c r="S760" s="1354"/>
      <c r="T760" s="725"/>
      <c r="U760" s="726" t="b">
        <f>IF(AND(U756=FALSE,U759=FALSE),FALSE,TRUE)</f>
        <v>0</v>
      </c>
      <c r="V760" s="807"/>
      <c r="W760" s="821" t="str">
        <f>IF(K760=TRUE,"V","F")</f>
        <v>F</v>
      </c>
      <c r="X760" s="822"/>
      <c r="Y760" s="821" t="str">
        <f>IF(R760=TRUE,"V","F")</f>
        <v>F</v>
      </c>
      <c r="Z760" s="822"/>
      <c r="AA760" s="821" t="str">
        <f>IF(U760=TRUE,"V","F")</f>
        <v>F</v>
      </c>
      <c r="AB760" s="822"/>
      <c r="AC760" t="str">
        <f>IF(OR(W760="V",Y760="V"),IF(H759&gt;H756,"Le NC contribue plus que le coparent","Le coparent joue un plus grand rôle que le NC"),"pas de contexte significatif de la part du coparent et NC")</f>
        <v>pas de contexte significatif de la part du coparent et NC</v>
      </c>
      <c r="AD760" s="10"/>
      <c r="AE760" s="10"/>
      <c r="AF760" s="10"/>
      <c r="AG760" s="591">
        <f>IF(AND($K756=TRUE,$K759=FALSE),AG756,IF(AND($K756=FALSE,$K759=TRUE),AG759,IF(AND($K756=TRUE,$K759=TRUE),AG756+AG759,0)))</f>
        <v>0</v>
      </c>
      <c r="AH760" s="591">
        <f>IF(AND($R756=TRUE,$R759=FALSE),AH756,IF(AND($R756=FALSE,$R759=TRUE),AH759,IF(AND($R756=TRUE,$R759=TRUE),AH756+AH759,0)))</f>
        <v>0</v>
      </c>
      <c r="AI760" s="591">
        <f>IF(AND($U756=TRUE,$U759=FALSE),AI756,IF(AND($U756=FALSE,$U759=TRUE),AI759,IF(AND($U756=TRUE,$U759=TRUE),AI756+AI759,0)))</f>
        <v>0</v>
      </c>
      <c r="AJ760" s="591">
        <f>IF(AND($K756=TRUE,$K759=FALSE),AJ756,IF(AND($K756=FALSE,$K759=TRUE),AJ759,IF(AND($K756=TRUE,$K759=TRUE),AJ756+AJ759,MAX(AJ756,AJ759))))</f>
        <v>0</v>
      </c>
      <c r="AK760" s="591">
        <f>IF(AND($K756=TRUE,$K759=FALSE),AK756,IF(AND($K756=FALSE,$K759=TRUE),AK759,IF(AND($K756=TRUE,$K759=TRUE),AK756+AK759,MAX(AK756,AK759))))</f>
        <v>0</v>
      </c>
      <c r="AL760" s="591">
        <f t="shared" ref="AL760:AM760" si="1540">IF(AND($R756=TRUE,$R759=FALSE),AL756,IF(AND($R756=FALSE,$R759=TRUE),AL759,IF(AND($R756=TRUE,$R759=TRUE),AL756+AL759,MAX(AL756,AL759))))</f>
        <v>0</v>
      </c>
      <c r="AM760" s="591">
        <f t="shared" si="1540"/>
        <v>0</v>
      </c>
      <c r="AN760" s="591">
        <f t="shared" ref="AN760:AO760" si="1541">IF(AND($U756=TRUE,$U759=FALSE),AN756,IF(AND($U756=FALSE,$U759=TRUE),AN759,IF(AND($U756=TRUE,$U759=TRUE),AN756+AN759,MAX(AN756,AN759))))</f>
        <v>0</v>
      </c>
      <c r="AO760" s="591">
        <f t="shared" si="1541"/>
        <v>0</v>
      </c>
    </row>
    <row r="761" spans="1:41" ht="34" x14ac:dyDescent="0.2">
      <c r="A761" t="str">
        <f>IF(Test_Bible!B322="","F","O")</f>
        <v>O</v>
      </c>
      <c r="B761" s="2148" t="s">
        <v>1823</v>
      </c>
      <c r="C761" s="287" t="str">
        <f>'Cpts AR +indép + Sommaire'!O108</f>
        <v>E29</v>
      </c>
      <c r="D761" s="25" t="str">
        <f>'Cpts AR +indép + Sommaire'!P108</f>
        <v>Dans quelle mesure diriez-vous que votre enfant adapte ses champs d’intérêts pour partager les intérêts de l’autre parent ?</v>
      </c>
      <c r="E761" s="78" t="s">
        <v>1981</v>
      </c>
      <c r="F761" s="709">
        <f>'Cpts AR +indép + Sommaire'!Q108</f>
        <v>1</v>
      </c>
      <c r="G761" s="709">
        <f>'Cpts AR +indép + Sommaire'!R108</f>
        <v>2</v>
      </c>
      <c r="H761" s="709">
        <f>F761*G761</f>
        <v>2</v>
      </c>
      <c r="I761" s="1350">
        <v>4</v>
      </c>
      <c r="J761" s="1343">
        <v>10</v>
      </c>
      <c r="K761" s="31" t="b">
        <f>IF(AND(F761&gt;=I761,F761&lt;=J761),TRUE,FALSE)</f>
        <v>0</v>
      </c>
      <c r="L761" s="31"/>
      <c r="M761" s="31"/>
      <c r="N761" s="31"/>
      <c r="O761" s="1351"/>
      <c r="P761" s="1350">
        <v>2</v>
      </c>
      <c r="Q761" s="1343">
        <v>7</v>
      </c>
      <c r="R761" s="1351" t="b">
        <f>IF(AND(F761&gt;=P761,F761&lt;=Q761),TRUE,FALSE)</f>
        <v>0</v>
      </c>
      <c r="S761" s="1350"/>
      <c r="T761" s="1343"/>
      <c r="U761" s="1351"/>
      <c r="V761" s="807"/>
      <c r="W761" s="821" t="s">
        <v>753</v>
      </c>
      <c r="X761" s="822"/>
      <c r="Y761" s="821"/>
      <c r="Z761" s="822"/>
      <c r="AA761" s="821"/>
      <c r="AB761" s="822"/>
      <c r="AD761" s="10"/>
      <c r="AE761" s="10"/>
      <c r="AF761" s="10"/>
      <c r="AG761" s="832">
        <f>IF($K761=TRUE,H761,0)</f>
        <v>0</v>
      </c>
      <c r="AH761" s="832">
        <f>IF($R761=TRUE,H761,0)</f>
        <v>0</v>
      </c>
      <c r="AI761" s="832"/>
      <c r="AJ761" s="1490">
        <f t="shared" ref="AJ761:AJ762" si="1542">IF(OR(I761=11,A761="F"),0,G761*I761)</f>
        <v>8</v>
      </c>
      <c r="AK761" s="1490">
        <f t="shared" ref="AK761:AK762" si="1543">IF(OR(J761=11,A761="F"),0,G761*J761)</f>
        <v>20</v>
      </c>
      <c r="AL761" s="1490">
        <f t="shared" ref="AL761:AL762" si="1544">IF(OR(P761=11,A761="F"),0,G761*P761)</f>
        <v>4</v>
      </c>
      <c r="AM761" s="1490">
        <f t="shared" ref="AM761:AM762" si="1545">IF(OR(Q761=11,A761="F"),0,G761*Q761)</f>
        <v>14</v>
      </c>
      <c r="AN761" s="1490">
        <f t="shared" ref="AN761:AN762" si="1546">IF(OR(S761=11,A761="F"),0,S761*G761)</f>
        <v>0</v>
      </c>
      <c r="AO761" s="1490">
        <f t="shared" ref="AO761:AO762" si="1547">IF(OR(T761=11,A761="F"),0,T761*G761)</f>
        <v>0</v>
      </c>
    </row>
    <row r="762" spans="1:41" ht="35" thickBot="1" x14ac:dyDescent="0.25">
      <c r="A762" t="str">
        <f>IF(Test_Bible!B323="","F","O")</f>
        <v>F</v>
      </c>
      <c r="B762" s="2148" t="s">
        <v>1823</v>
      </c>
      <c r="C762" s="287" t="str">
        <f>'Cpts AR +indép + Sommaire'!O109</f>
        <v>E29a</v>
      </c>
      <c r="D762" s="25" t="str">
        <f>'Cpts AR +indép + Sommaire'!P109</f>
        <v>Dans quelle mesure diriez-vous que votre enfant rejette vos valeurs et vos champs d’intérêts.</v>
      </c>
      <c r="E762" s="78" t="s">
        <v>1982</v>
      </c>
      <c r="F762" s="709">
        <f>'Cpts AR +indép + Sommaire'!Q109</f>
        <v>0</v>
      </c>
      <c r="G762" s="709">
        <f>'Cpts AR +indép + Sommaire'!R109</f>
        <v>3</v>
      </c>
      <c r="H762" s="709">
        <f>F762*G762</f>
        <v>0</v>
      </c>
      <c r="I762" s="1350">
        <v>4</v>
      </c>
      <c r="J762" s="1343">
        <v>10</v>
      </c>
      <c r="K762" s="31" t="b">
        <f>IF(AND(F762&gt;=I762,F762&lt;=J762),TRUE,FALSE)</f>
        <v>0</v>
      </c>
      <c r="L762" s="31"/>
      <c r="M762" s="31"/>
      <c r="N762" s="31"/>
      <c r="O762" s="1351"/>
      <c r="P762" s="1350">
        <v>2</v>
      </c>
      <c r="Q762" s="1343">
        <v>7</v>
      </c>
      <c r="R762" s="1351" t="b">
        <f>IF(AND(F762&gt;=P762,F762&lt;=Q762),TRUE,FALSE)</f>
        <v>0</v>
      </c>
      <c r="S762" s="1374"/>
      <c r="T762" s="1375"/>
      <c r="U762" s="1351"/>
      <c r="V762" s="807"/>
      <c r="W762" s="821"/>
      <c r="X762" s="822"/>
      <c r="Y762" s="821"/>
      <c r="Z762" s="822"/>
      <c r="AA762" s="821"/>
      <c r="AB762" s="822"/>
      <c r="AD762" s="10"/>
      <c r="AE762" s="10"/>
      <c r="AF762" s="10"/>
      <c r="AG762" s="832">
        <f>IF($K762=TRUE,H762,0)</f>
        <v>0</v>
      </c>
      <c r="AH762" s="832">
        <f>IF($R762=TRUE,H762,0)</f>
        <v>0</v>
      </c>
      <c r="AI762" s="832"/>
      <c r="AJ762" s="1490">
        <f t="shared" si="1542"/>
        <v>0</v>
      </c>
      <c r="AK762" s="1490">
        <f t="shared" si="1543"/>
        <v>0</v>
      </c>
      <c r="AL762" s="1490">
        <f t="shared" si="1544"/>
        <v>0</v>
      </c>
      <c r="AM762" s="1490">
        <f t="shared" si="1545"/>
        <v>0</v>
      </c>
      <c r="AN762" s="1490">
        <f t="shared" si="1546"/>
        <v>0</v>
      </c>
      <c r="AO762" s="1490">
        <f t="shared" si="1547"/>
        <v>0</v>
      </c>
    </row>
    <row r="763" spans="1:41" ht="35" thickBot="1" x14ac:dyDescent="0.25">
      <c r="B763" s="1700"/>
      <c r="C763" s="727" t="s">
        <v>611</v>
      </c>
      <c r="D763" s="728" t="str">
        <f>_xlfn.XLOOKUP(H763,H761:H762,D761:D762)</f>
        <v>Dans quelle mesure diriez-vous que votre enfant adapte ses champs d’intérêts pour partager les intérêts de l’autre parent ?</v>
      </c>
      <c r="E763" s="728" t="str">
        <f>_xlfn.XLOOKUP(H763,H761:H762,E761:E762)</f>
        <v>adapte ses champs d'intérêts pour le coparent</v>
      </c>
      <c r="F763" s="729"/>
      <c r="G763" s="729"/>
      <c r="H763" s="729">
        <f>IF(AND(K761=TRUE,K762=FALSE),H761,IF(AND(K761=FALSE,K762=TRUE),H762,MAX(H761,H762)))</f>
        <v>2</v>
      </c>
      <c r="I763" s="1356"/>
      <c r="J763" s="730"/>
      <c r="K763" s="731" t="b">
        <f>IF(AND(K761=FALSE,K762=FALSE),FALSE,TRUE)</f>
        <v>0</v>
      </c>
      <c r="L763" s="1339"/>
      <c r="M763" s="1339"/>
      <c r="N763" s="1339"/>
      <c r="O763" s="1357"/>
      <c r="P763" s="1356"/>
      <c r="Q763" s="730"/>
      <c r="R763" s="731" t="b">
        <f>IF(AND(R761=FALSE,R762=FALSE),FALSE,TRUE)</f>
        <v>0</v>
      </c>
      <c r="S763" s="1356"/>
      <c r="T763" s="730"/>
      <c r="U763" s="731"/>
      <c r="V763" s="807"/>
      <c r="W763" s="821" t="str">
        <f>IF(K763=TRUE,"V","F")</f>
        <v>F</v>
      </c>
      <c r="X763" s="822"/>
      <c r="Y763" s="821" t="str">
        <f>IF(R763=TRUE,"V","F")</f>
        <v>F</v>
      </c>
      <c r="Z763" s="822"/>
      <c r="AA763" s="821"/>
      <c r="AB763" s="822"/>
      <c r="AD763" s="10"/>
      <c r="AE763" s="10"/>
      <c r="AF763" s="10"/>
      <c r="AG763" s="1742">
        <f>IF(AND($K761=TRUE,$K762=FALSE),AG761,IF(AND($K761=FALSE,$K762=TRUE),AG762,IF(AND($K761=TRUE,$K762=TRUE),MAX(AG761,AG762),0)))</f>
        <v>0</v>
      </c>
      <c r="AH763" s="1742">
        <f>IF(AND($R761=TRUE,$R762=FALSE),AH761,IF(AND($R761=FALSE,$R762=TRUE),AH762,IF(AND($R761=TRUE,$R762=TRUE),MAX(AH761,AH762),0)))</f>
        <v>0</v>
      </c>
      <c r="AI763" s="1742"/>
      <c r="AJ763" s="1742">
        <f>IF(AND($K761=TRUE,$K762=FALSE),AJ761,IF(AND($K761=FALSE,$K762=TRUE),AJ762,IF(AND($K761=TRUE,$K762=TRUE),MAX(AJ761,AJ762),0)))</f>
        <v>0</v>
      </c>
      <c r="AK763" s="1742">
        <f>IF(AND($K761=TRUE,$K762=FALSE),AK761,IF(AND($K761=FALSE,$K762=TRUE),AK762,IF(AND($K761=TRUE,$K762=TRUE),MAX(AK761,AK762),0)))</f>
        <v>0</v>
      </c>
      <c r="AL763" s="1742">
        <f t="shared" ref="AL763:AM763" si="1548">IF(AND($R761=TRUE,$R762=FALSE),AL761,IF(AND($R761=FALSE,$R762=TRUE),AL762,IF(AND($R761=TRUE,$R762=TRUE),MAX(AL761,AL762),0)))</f>
        <v>0</v>
      </c>
      <c r="AM763" s="1742">
        <f t="shared" si="1548"/>
        <v>0</v>
      </c>
      <c r="AN763" s="1742"/>
      <c r="AO763" s="1742"/>
    </row>
    <row r="764" spans="1:41" ht="17" x14ac:dyDescent="0.2">
      <c r="B764" s="1700"/>
      <c r="D764" s="386" t="s">
        <v>273</v>
      </c>
      <c r="E764" s="705"/>
      <c r="F764" s="439" t="s">
        <v>349</v>
      </c>
      <c r="G764" s="33"/>
      <c r="H764" s="33">
        <f>IF(AND(K760=TRUE,K763=FALSE),H760,IF(AND(K760=FALSE,K763=TRUE),H763,IF(AND(K760=TRUE,K763=TRUE),H760+H763,MAX(H760,H763))))</f>
        <v>2</v>
      </c>
      <c r="I764" s="1358"/>
      <c r="J764" s="440"/>
      <c r="K764" s="1341"/>
      <c r="L764" s="1342"/>
      <c r="M764" s="1342"/>
      <c r="N764" s="1342" t="str">
        <f>IF(AND(K760=FALSE,K763=TRUE),E763,"")</f>
        <v/>
      </c>
      <c r="O764" s="1359"/>
      <c r="P764" s="1358"/>
      <c r="Q764" s="440"/>
      <c r="R764" s="1367"/>
      <c r="S764" s="1358"/>
      <c r="T764" s="440"/>
      <c r="U764" s="1367"/>
      <c r="V764" s="145"/>
      <c r="W764" s="823"/>
      <c r="X764" s="824">
        <f>IF(AND(W760="V",W763="V"),2,IF(OR(W760="V",W763="V"),1,0))</f>
        <v>0</v>
      </c>
      <c r="Y764" s="823"/>
      <c r="Z764" s="824">
        <f>IF(OR(Y760="V",Y763="V"),1,0)</f>
        <v>0</v>
      </c>
      <c r="AA764" s="823"/>
      <c r="AB764" s="824"/>
      <c r="AD764" s="10"/>
      <c r="AE764" s="10"/>
      <c r="AF764" s="10"/>
      <c r="AG764" s="1738">
        <f>IF(AND($W760="V",$W763="F"),AG760,IF(AND($W760="F",$W763="V"),AG763,IF(AND($W760="V",$W763="V"),AG760+AG763,0)))</f>
        <v>0</v>
      </c>
      <c r="AH764" s="1738">
        <f>IF(AND($Y760="V",$Y763="F"),AH760,IF(AND($Y760="F",$Y763="V"),AH763,IF(AND($Y760="V",$Y763="V"),AH760+AH763,0)))</f>
        <v>0</v>
      </c>
      <c r="AI764" s="1738"/>
      <c r="AJ764" s="1738">
        <f>IF(AND($W760="V",$W763="F"),AJ760,IF(AND($W760="F",$W763="V"),AJ763,IF(AND($W760="V",$W763="V"),AJ760+AJ763,0)))</f>
        <v>0</v>
      </c>
      <c r="AK764" s="1738">
        <f>IF(AND($W760="V",$W763="F"),AK760,IF(AND($W760="F",$W763="V"),AK763,IF(AND($W760="V",$W763="V"),AK760+AK763,0)))</f>
        <v>0</v>
      </c>
      <c r="AL764" s="1738">
        <f>IF(AND($Y760="V",$Y763="F"),AL760,IF(AND($Y760="F",$Y763="V"),AL763,IF(AND($Y760="V",$Y763="V"),AL760+AL763,0)))</f>
        <v>0</v>
      </c>
      <c r="AM764" s="1738">
        <f>IF(AND($Y760="V",$Y763="F"),AM760,IF(AND($Y760="F",$Y763="V"),AM763,IF(AND($Y760="V",$Y763="V"),AM760+AM763,0)))</f>
        <v>0</v>
      </c>
      <c r="AN764" s="1738"/>
      <c r="AO764" s="1738"/>
    </row>
    <row r="765" spans="1:41" ht="16" x14ac:dyDescent="0.2">
      <c r="B765" s="1700"/>
      <c r="C765" t="s">
        <v>238</v>
      </c>
      <c r="I765" s="122"/>
      <c r="L765" s="32"/>
      <c r="M765" s="32"/>
      <c r="N765" s="32"/>
      <c r="O765" s="1379"/>
      <c r="P765" s="122"/>
      <c r="R765" s="292"/>
      <c r="S765" s="122"/>
      <c r="U765" s="292"/>
      <c r="V765" s="32"/>
      <c r="W765" s="821"/>
      <c r="X765" s="822"/>
      <c r="Y765" s="821"/>
      <c r="Z765" s="822"/>
      <c r="AA765" s="821"/>
      <c r="AB765" s="822"/>
      <c r="AD765" s="10"/>
      <c r="AE765" s="10"/>
      <c r="AF765" s="10"/>
      <c r="AG765" s="832"/>
      <c r="AH765" s="832"/>
      <c r="AI765" s="832"/>
      <c r="AJ765" s="1490"/>
      <c r="AK765" s="1490"/>
      <c r="AL765" s="1490"/>
      <c r="AM765" s="1490"/>
      <c r="AN765" s="1490"/>
      <c r="AO765" s="1490"/>
    </row>
    <row r="766" spans="1:41" ht="19" x14ac:dyDescent="0.2">
      <c r="B766" s="1700"/>
      <c r="C766" s="825"/>
      <c r="D766" s="829"/>
      <c r="E766" s="826"/>
      <c r="F766" s="830"/>
      <c r="G766" s="830"/>
      <c r="H766" s="830">
        <f>F766*G766</f>
        <v>0</v>
      </c>
      <c r="I766" s="1374">
        <v>11</v>
      </c>
      <c r="J766" s="1375">
        <v>11</v>
      </c>
      <c r="K766" s="31" t="b">
        <f>IF(AND(F766&gt;=I766,F766&lt;=J766),TRUE,FALSE)</f>
        <v>0</v>
      </c>
      <c r="L766" s="26"/>
      <c r="M766" s="26"/>
      <c r="N766" s="26"/>
      <c r="O766" s="1360"/>
      <c r="P766" s="1374">
        <v>11</v>
      </c>
      <c r="Q766" s="1375">
        <v>11</v>
      </c>
      <c r="R766" s="1351" t="b">
        <f>IF(AND(F766&gt;=P766,F766&lt;=Q766),TRUE,FALSE)</f>
        <v>0</v>
      </c>
      <c r="S766" s="1374">
        <v>11</v>
      </c>
      <c r="T766" s="1375">
        <v>11</v>
      </c>
      <c r="U766" s="1351" t="b">
        <f>IF(AND(F766&gt;=S766,F766&lt;=T766),TRUE,FALSE)</f>
        <v>0</v>
      </c>
      <c r="V766" s="32"/>
      <c r="W766" s="821"/>
      <c r="X766" s="822"/>
      <c r="Y766" s="821"/>
      <c r="Z766" s="822"/>
      <c r="AA766" s="821"/>
      <c r="AB766" s="822"/>
      <c r="AD766" s="10"/>
      <c r="AE766" s="10"/>
      <c r="AF766" s="10"/>
      <c r="AG766" s="832">
        <f>IF($K766=TRUE,H766,0)</f>
        <v>0</v>
      </c>
      <c r="AH766" s="832">
        <f>IF($R766=TRUE,H766,0)</f>
        <v>0</v>
      </c>
      <c r="AI766" s="832">
        <f>IF($U766=TRUE,H766,0)</f>
        <v>0</v>
      </c>
      <c r="AJ766" s="1490">
        <f t="shared" ref="AJ766:AJ767" si="1549">IF(OR(I766=11,A766="F"),0,G766*I766)</f>
        <v>0</v>
      </c>
      <c r="AK766" s="1490">
        <f t="shared" ref="AK766:AK767" si="1550">IF(OR(J766=11,A766="F"),0,G766*J766)</f>
        <v>0</v>
      </c>
      <c r="AL766" s="1490">
        <f t="shared" ref="AL766:AL767" si="1551">IF(OR(P766=11,A766="F"),0,G766*P766)</f>
        <v>0</v>
      </c>
      <c r="AM766" s="1490">
        <f t="shared" ref="AM766:AM767" si="1552">IF(OR(Q766=11,A766="F"),0,G766*Q766)</f>
        <v>0</v>
      </c>
      <c r="AN766" s="1490">
        <f t="shared" ref="AN766:AN767" si="1553">IF(OR(S766=11,A766="F"),0,S766*G766)</f>
        <v>0</v>
      </c>
      <c r="AO766" s="1490">
        <f t="shared" ref="AO766:AO767" si="1554">IF(OR(T766=11,A766="F"),0,T766*G766)</f>
        <v>0</v>
      </c>
    </row>
    <row r="767" spans="1:41" ht="20" thickBot="1" x14ac:dyDescent="0.25">
      <c r="B767" s="1700"/>
      <c r="C767" s="825"/>
      <c r="D767" s="829"/>
      <c r="E767" s="826"/>
      <c r="F767" s="830"/>
      <c r="G767" s="830"/>
      <c r="H767" s="830">
        <f>F767*G767</f>
        <v>0</v>
      </c>
      <c r="I767" s="1374">
        <v>11</v>
      </c>
      <c r="J767" s="1375">
        <v>11</v>
      </c>
      <c r="K767" s="31" t="b">
        <f>IF(AND(F767&gt;=I767,F767&lt;=J767),TRUE,FALSE)</f>
        <v>0</v>
      </c>
      <c r="L767" s="26"/>
      <c r="M767" s="26"/>
      <c r="N767" s="26"/>
      <c r="O767" s="1360"/>
      <c r="P767" s="1374">
        <v>11</v>
      </c>
      <c r="Q767" s="1375">
        <v>11</v>
      </c>
      <c r="R767" s="1351" t="b">
        <f>IF(AND(F767&gt;=P767,F767&lt;=Q767),TRUE,FALSE)</f>
        <v>0</v>
      </c>
      <c r="S767" s="1374">
        <v>11</v>
      </c>
      <c r="T767" s="1375">
        <v>11</v>
      </c>
      <c r="U767" s="1351" t="b">
        <f>IF(AND(F767&gt;=S767,F767&lt;=T767),TRUE,FALSE)</f>
        <v>0</v>
      </c>
      <c r="W767" s="821"/>
      <c r="X767" s="822"/>
      <c r="Y767" s="821"/>
      <c r="Z767" s="822"/>
      <c r="AA767" s="821"/>
      <c r="AB767" s="822"/>
      <c r="AD767" s="10"/>
      <c r="AE767" s="10"/>
      <c r="AF767" s="10"/>
      <c r="AG767" s="832">
        <f>IF($K767=TRUE,H767,0)</f>
        <v>0</v>
      </c>
      <c r="AH767" s="832">
        <f>IF($R767=TRUE,H767,0)</f>
        <v>0</v>
      </c>
      <c r="AI767" s="832">
        <f>IF($U767=TRUE,H767,0)</f>
        <v>0</v>
      </c>
      <c r="AJ767" s="1490">
        <f t="shared" si="1549"/>
        <v>0</v>
      </c>
      <c r="AK767" s="1490">
        <f t="shared" si="1550"/>
        <v>0</v>
      </c>
      <c r="AL767" s="1490">
        <f t="shared" si="1551"/>
        <v>0</v>
      </c>
      <c r="AM767" s="1490">
        <f t="shared" si="1552"/>
        <v>0</v>
      </c>
      <c r="AN767" s="1490">
        <f t="shared" si="1553"/>
        <v>0</v>
      </c>
      <c r="AO767" s="1490">
        <f t="shared" si="1554"/>
        <v>0</v>
      </c>
    </row>
    <row r="768" spans="1:41" ht="27" thickBot="1" x14ac:dyDescent="0.35">
      <c r="D768" s="16"/>
      <c r="E768" s="16"/>
      <c r="F768" s="67"/>
      <c r="G768" s="438"/>
      <c r="H768" s="33">
        <f>IF(AND(K766=TRUE,K767=FALSE),H766,IF(AND(K766=FALSE,K767=TRUE),H767,MAX(H766,H767)))</f>
        <v>0</v>
      </c>
      <c r="I768" s="1371"/>
      <c r="J768" s="1372"/>
      <c r="K768" s="1378" t="b">
        <f>IF(AND(K766=FALSE,K767=FALSE),FALSE,TRUE)</f>
        <v>0</v>
      </c>
      <c r="L768" s="1361"/>
      <c r="M768" s="1362"/>
      <c r="N768" s="1362"/>
      <c r="O768" s="1363"/>
      <c r="P768" s="1371"/>
      <c r="Q768" s="1372"/>
      <c r="R768" s="1378" t="b">
        <f>IF(AND(R766=FALSE,R767=FALSE),FALSE,TRUE)</f>
        <v>0</v>
      </c>
      <c r="S768" s="1383"/>
      <c r="T768" s="1384"/>
      <c r="U768" s="1385" t="b">
        <f>IF(AND(U766=FALSE,U767=FALSE),FALSE,TRUE)</f>
        <v>0</v>
      </c>
      <c r="V768" s="809"/>
      <c r="W768" s="1315" t="str">
        <f>IF(K768=TRUE,"V","F")</f>
        <v>F</v>
      </c>
      <c r="X768" s="1316"/>
      <c r="Y768" s="1315" t="str">
        <f>IF(R768=TRUE,"V","F")</f>
        <v>F</v>
      </c>
      <c r="Z768" s="1316"/>
      <c r="AA768" s="1315" t="str">
        <f>IF(U768=TRUE,"V","F")</f>
        <v>F</v>
      </c>
      <c r="AB768" s="1316"/>
      <c r="AD768" s="10"/>
      <c r="AE768" s="10"/>
      <c r="AF768" s="10"/>
      <c r="AG768" s="1742">
        <f>IF(AND($K766=TRUE,$K767=FALSE),AG766,IF(AND($K766=FALSE,$K767=TRUE),AG767,MAX(AG766,AG767)))</f>
        <v>0</v>
      </c>
      <c r="AH768" s="1742">
        <f>IF(AND($R766=TRUE,$R767=FALSE),AH766,IF(AND($R766=FALSE,$R767=TRUE),AH767,MAX(AH766,AH767)))</f>
        <v>0</v>
      </c>
      <c r="AI768" s="1742">
        <f>IF(AND($U766=TRUE,$U767=FALSE),AI766,IF(AND($U766=FALSE,$U767=TRUE),AI767,MAX(AI766,AI767)))</f>
        <v>0</v>
      </c>
      <c r="AJ768" s="1742">
        <f>IF(AND($K766=TRUE,$K767=FALSE),AJ766,IF(AND($K766=FALSE,$K767=TRUE),AJ767,MAX(AJ766,AJ767)))</f>
        <v>0</v>
      </c>
      <c r="AK768" s="1742">
        <f>IF(AND($K766=TRUE,$K767=FALSE),AK766,IF(AND($K766=FALSE,$K767=TRUE),AK767,MAX(AK766,AK767)))</f>
        <v>0</v>
      </c>
      <c r="AL768" s="1742">
        <f>IF(AND($R766=TRUE,$R767=FALSE),AL766,IF(AND($R766=FALSE,$R767=TRUE),AL767,MAX(AL766,AL767)))</f>
        <v>0</v>
      </c>
      <c r="AM768" s="1742">
        <f>IF(AND($R766=TRUE,$R767=FALSE),AM766,IF(AND($R766=FALSE,$R767=TRUE),AM767,MAX(AM766,AM767)))</f>
        <v>0</v>
      </c>
      <c r="AN768" s="1742">
        <f>IF(AND($U766=TRUE,$U767=FALSE),AN766,IF(AND($U766=FALSE,$U767=TRUE),AN767,MAX(AN766,AN767)))</f>
        <v>0</v>
      </c>
      <c r="AO768" s="1742">
        <f>IF(AND($U766=TRUE,$U767=FALSE),AO766,IF(AND($U766=FALSE,$U767=TRUE),AO767,MAX(AO766,AO767)))</f>
        <v>0</v>
      </c>
    </row>
    <row r="769" spans="1:41" ht="21" x14ac:dyDescent="0.25">
      <c r="B769" s="1700"/>
      <c r="W769" s="1376"/>
      <c r="X769" s="1377">
        <f>IF(AND(W768="V",W760="V"),X764-1,X764)</f>
        <v>0</v>
      </c>
      <c r="Y769" s="1376"/>
      <c r="Z769" s="1377">
        <f>IF(OR(Y760="V",Y763="V",Y768="V"),1,0)</f>
        <v>0</v>
      </c>
      <c r="AA769" s="1376"/>
      <c r="AB769" s="1377">
        <f>IF(AA760="V",1,IF(AA768="V",1,0))</f>
        <v>0</v>
      </c>
      <c r="AD769" s="10">
        <f>X769</f>
        <v>0</v>
      </c>
      <c r="AE769" s="10">
        <f>Z769</f>
        <v>0</v>
      </c>
      <c r="AF769" s="10">
        <f>AB769</f>
        <v>0</v>
      </c>
      <c r="AG769" s="1741">
        <f>IF($W768="F",AG764,AG764+AG768)</f>
        <v>0</v>
      </c>
      <c r="AH769" s="1741">
        <f>IF($Y768="F",AH764,AH764+AH768)</f>
        <v>0</v>
      </c>
      <c r="AI769" s="1741">
        <f>IF(AND($AA760="V",$AA768="F"),AI760,IF(AND($AA760="F",$AA768="V"),AI768,IF(AND($AA760="V",$AA768="V"),AI760+AI768,0)))</f>
        <v>0</v>
      </c>
      <c r="AJ769" s="1741">
        <f>IF($W768="F",AJ764,AJ764+AJ768)</f>
        <v>0</v>
      </c>
      <c r="AK769" s="1741">
        <f>IF($W768="F",AK764,AK764+AK768)</f>
        <v>0</v>
      </c>
      <c r="AL769" s="1741">
        <f t="shared" ref="AL769:AM769" si="1555">IF($Y768="F",AL764,AL764+AL768)</f>
        <v>0</v>
      </c>
      <c r="AM769" s="1741">
        <f t="shared" si="1555"/>
        <v>0</v>
      </c>
      <c r="AN769" s="1741">
        <f t="shared" ref="AN769:AO769" si="1556">IF(AND($AA760="V",$AA768="F"),AN760,IF(AND($AA760="F",$AA768="V"),AN768,IF(AND($AA760="V",$AA768="V"),AN760+AN768,0)))</f>
        <v>0</v>
      </c>
      <c r="AO769" s="1741">
        <f t="shared" si="1556"/>
        <v>0</v>
      </c>
    </row>
    <row r="770" spans="1:41" ht="21" x14ac:dyDescent="0.25">
      <c r="B770" s="1700"/>
      <c r="W770" s="2159"/>
      <c r="X770" s="2159"/>
      <c r="Y770" s="2159"/>
      <c r="Z770" s="2159"/>
      <c r="AA770" s="2159"/>
      <c r="AB770" s="2159"/>
      <c r="AD770" s="10"/>
      <c r="AE770" s="10"/>
      <c r="AF770" s="10"/>
      <c r="AG770" s="1741"/>
      <c r="AH770" s="1741"/>
      <c r="AI770" s="1741"/>
      <c r="AJ770" s="1741"/>
      <c r="AK770" s="1741"/>
      <c r="AL770" s="1741"/>
      <c r="AM770" s="1741"/>
      <c r="AN770" s="1741"/>
      <c r="AO770" s="1741"/>
    </row>
    <row r="771" spans="1:41" ht="16" x14ac:dyDescent="0.2">
      <c r="B771" s="1700"/>
      <c r="W771" s="1387"/>
    </row>
    <row r="772" spans="1:41" ht="16" x14ac:dyDescent="0.2">
      <c r="A772" s="757"/>
      <c r="B772" s="1700"/>
      <c r="C772" s="757"/>
      <c r="D772" s="757"/>
      <c r="E772" s="757"/>
      <c r="F772" s="757"/>
      <c r="G772" s="757"/>
      <c r="H772" s="757"/>
      <c r="I772" s="757"/>
      <c r="J772" s="757"/>
      <c r="K772" s="757"/>
    </row>
    <row r="773" spans="1:41" ht="16" x14ac:dyDescent="0.2">
      <c r="A773" s="757"/>
      <c r="B773" s="1700"/>
      <c r="C773" s="757"/>
      <c r="D773" s="757"/>
      <c r="E773" s="757"/>
      <c r="F773" s="757"/>
      <c r="G773" s="757"/>
      <c r="H773" s="757"/>
      <c r="I773" s="757"/>
      <c r="J773" s="757"/>
      <c r="K773" s="757"/>
    </row>
    <row r="774" spans="1:41" ht="16" x14ac:dyDescent="0.2">
      <c r="A774" s="757"/>
      <c r="B774" s="1700"/>
      <c r="C774" s="757"/>
      <c r="D774" s="757"/>
      <c r="E774" s="757"/>
      <c r="F774" s="757"/>
      <c r="G774" s="757"/>
      <c r="H774" s="757"/>
      <c r="I774" s="757"/>
      <c r="J774" s="757"/>
      <c r="K774" s="757"/>
    </row>
    <row r="775" spans="1:41" ht="16" x14ac:dyDescent="0.2">
      <c r="A775" s="757"/>
      <c r="B775" s="1700"/>
      <c r="C775" s="757"/>
      <c r="E775" s="757"/>
      <c r="F775" s="757"/>
      <c r="G775" s="757"/>
      <c r="H775" s="757"/>
      <c r="I775" s="757"/>
      <c r="J775" s="757"/>
      <c r="K775" s="757"/>
    </row>
    <row r="780" spans="1:41" x14ac:dyDescent="0.3">
      <c r="AB780" s="2"/>
    </row>
  </sheetData>
  <dataConsolidate/>
  <mergeCells count="337">
    <mergeCell ref="I752:K752"/>
    <mergeCell ref="L752:O752"/>
    <mergeCell ref="P752:R752"/>
    <mergeCell ref="S752:U752"/>
    <mergeCell ref="AJ752:AK752"/>
    <mergeCell ref="AL752:AM752"/>
    <mergeCell ref="AN752:AO752"/>
    <mergeCell ref="I694:K694"/>
    <mergeCell ref="L694:O694"/>
    <mergeCell ref="P694:R694"/>
    <mergeCell ref="S694:U694"/>
    <mergeCell ref="AJ694:AK694"/>
    <mergeCell ref="AL694:AM694"/>
    <mergeCell ref="AN694:AO694"/>
    <mergeCell ref="I733:K733"/>
    <mergeCell ref="L733:O733"/>
    <mergeCell ref="P733:R733"/>
    <mergeCell ref="S733:U733"/>
    <mergeCell ref="AJ733:AK733"/>
    <mergeCell ref="AL733:AM733"/>
    <mergeCell ref="AN733:AO733"/>
    <mergeCell ref="I713:K713"/>
    <mergeCell ref="L713:O713"/>
    <mergeCell ref="P713:R713"/>
    <mergeCell ref="S713:U713"/>
    <mergeCell ref="AJ713:AK713"/>
    <mergeCell ref="AL713:AM713"/>
    <mergeCell ref="AN713:AO713"/>
    <mergeCell ref="A718:A719"/>
    <mergeCell ref="AJ631:AK631"/>
    <mergeCell ref="AL631:AM631"/>
    <mergeCell ref="AN631:AO631"/>
    <mergeCell ref="F674:J674"/>
    <mergeCell ref="L674:N674"/>
    <mergeCell ref="I675:K675"/>
    <mergeCell ref="L675:O675"/>
    <mergeCell ref="P675:R675"/>
    <mergeCell ref="S675:U675"/>
    <mergeCell ref="AJ675:AK675"/>
    <mergeCell ref="AL675:AM675"/>
    <mergeCell ref="AN675:AO675"/>
    <mergeCell ref="I652:K652"/>
    <mergeCell ref="L652:O652"/>
    <mergeCell ref="P652:R652"/>
    <mergeCell ref="S652:U652"/>
    <mergeCell ref="F651:J651"/>
    <mergeCell ref="L651:N651"/>
    <mergeCell ref="S631:U631"/>
    <mergeCell ref="P87:R87"/>
    <mergeCell ref="P68:R68"/>
    <mergeCell ref="P48:R48"/>
    <mergeCell ref="I48:K48"/>
    <mergeCell ref="I68:K68"/>
    <mergeCell ref="I87:K87"/>
    <mergeCell ref="I125:K125"/>
    <mergeCell ref="P125:R125"/>
    <mergeCell ref="I144:K144"/>
    <mergeCell ref="P144:R144"/>
    <mergeCell ref="I571:K571"/>
    <mergeCell ref="L571:O571"/>
    <mergeCell ref="P571:R571"/>
    <mergeCell ref="S571:U571"/>
    <mergeCell ref="I591:K591"/>
    <mergeCell ref="L591:O591"/>
    <mergeCell ref="P591:R591"/>
    <mergeCell ref="S591:U591"/>
    <mergeCell ref="L508:N508"/>
    <mergeCell ref="I509:K509"/>
    <mergeCell ref="L509:O509"/>
    <mergeCell ref="S509:U509"/>
    <mergeCell ref="I528:K528"/>
    <mergeCell ref="L528:O528"/>
    <mergeCell ref="P528:R528"/>
    <mergeCell ref="S528:U528"/>
    <mergeCell ref="F590:J590"/>
    <mergeCell ref="L590:N590"/>
    <mergeCell ref="I551:K551"/>
    <mergeCell ref="L551:O551"/>
    <mergeCell ref="P551:R551"/>
    <mergeCell ref="S551:U551"/>
    <mergeCell ref="L489:N489"/>
    <mergeCell ref="I490:K490"/>
    <mergeCell ref="L490:O490"/>
    <mergeCell ref="P490:R490"/>
    <mergeCell ref="P509:R509"/>
    <mergeCell ref="L451:N451"/>
    <mergeCell ref="I452:K452"/>
    <mergeCell ref="L452:O452"/>
    <mergeCell ref="S490:U490"/>
    <mergeCell ref="L470:N470"/>
    <mergeCell ref="I471:K471"/>
    <mergeCell ref="L471:O471"/>
    <mergeCell ref="P471:R471"/>
    <mergeCell ref="S471:U471"/>
    <mergeCell ref="S452:U452"/>
    <mergeCell ref="L373:N373"/>
    <mergeCell ref="I374:K374"/>
    <mergeCell ref="L374:O374"/>
    <mergeCell ref="P374:R374"/>
    <mergeCell ref="S374:U374"/>
    <mergeCell ref="P452:R452"/>
    <mergeCell ref="L392:N392"/>
    <mergeCell ref="I393:K393"/>
    <mergeCell ref="L393:O393"/>
    <mergeCell ref="P393:R393"/>
    <mergeCell ref="S393:U393"/>
    <mergeCell ref="L432:N432"/>
    <mergeCell ref="I433:K433"/>
    <mergeCell ref="L433:O433"/>
    <mergeCell ref="P433:R433"/>
    <mergeCell ref="S433:U433"/>
    <mergeCell ref="L412:N412"/>
    <mergeCell ref="I413:K413"/>
    <mergeCell ref="L413:O413"/>
    <mergeCell ref="P413:R413"/>
    <mergeCell ref="S413:U413"/>
    <mergeCell ref="S355:U355"/>
    <mergeCell ref="S336:U336"/>
    <mergeCell ref="L316:N316"/>
    <mergeCell ref="I317:K317"/>
    <mergeCell ref="L317:O317"/>
    <mergeCell ref="P317:R317"/>
    <mergeCell ref="S317:U317"/>
    <mergeCell ref="L297:N297"/>
    <mergeCell ref="I298:K298"/>
    <mergeCell ref="L298:O298"/>
    <mergeCell ref="P298:R298"/>
    <mergeCell ref="S298:U298"/>
    <mergeCell ref="L335:N335"/>
    <mergeCell ref="I336:K336"/>
    <mergeCell ref="L336:O336"/>
    <mergeCell ref="P336:R336"/>
    <mergeCell ref="L354:N354"/>
    <mergeCell ref="I355:K355"/>
    <mergeCell ref="L355:O355"/>
    <mergeCell ref="P355:R355"/>
    <mergeCell ref="L278:N278"/>
    <mergeCell ref="I279:K279"/>
    <mergeCell ref="L279:O279"/>
    <mergeCell ref="P279:R279"/>
    <mergeCell ref="S279:U279"/>
    <mergeCell ref="L259:N259"/>
    <mergeCell ref="I260:K260"/>
    <mergeCell ref="L260:O260"/>
    <mergeCell ref="P260:R260"/>
    <mergeCell ref="S260:U260"/>
    <mergeCell ref="L240:N240"/>
    <mergeCell ref="I241:K241"/>
    <mergeCell ref="L241:O241"/>
    <mergeCell ref="P241:R241"/>
    <mergeCell ref="S241:U241"/>
    <mergeCell ref="L221:N221"/>
    <mergeCell ref="I222:K222"/>
    <mergeCell ref="L222:O222"/>
    <mergeCell ref="P222:R222"/>
    <mergeCell ref="S222:U222"/>
    <mergeCell ref="L202:N202"/>
    <mergeCell ref="I203:K203"/>
    <mergeCell ref="L203:O203"/>
    <mergeCell ref="P203:R203"/>
    <mergeCell ref="S203:U203"/>
    <mergeCell ref="I202:K202"/>
    <mergeCell ref="P202:R202"/>
    <mergeCell ref="L183:N183"/>
    <mergeCell ref="I184:K184"/>
    <mergeCell ref="L184:O184"/>
    <mergeCell ref="P184:R184"/>
    <mergeCell ref="S184:U184"/>
    <mergeCell ref="L164:N164"/>
    <mergeCell ref="I165:K165"/>
    <mergeCell ref="L165:O165"/>
    <mergeCell ref="P165:R165"/>
    <mergeCell ref="S165:U165"/>
    <mergeCell ref="I164:K164"/>
    <mergeCell ref="P164:R164"/>
    <mergeCell ref="I183:K183"/>
    <mergeCell ref="P183:R183"/>
    <mergeCell ref="S88:U88"/>
    <mergeCell ref="L144:N144"/>
    <mergeCell ref="I145:K145"/>
    <mergeCell ref="L145:O145"/>
    <mergeCell ref="P145:R145"/>
    <mergeCell ref="S145:U145"/>
    <mergeCell ref="L125:N125"/>
    <mergeCell ref="I126:K126"/>
    <mergeCell ref="L126:O126"/>
    <mergeCell ref="P126:R126"/>
    <mergeCell ref="S126:U126"/>
    <mergeCell ref="P106:R106"/>
    <mergeCell ref="I106:K106"/>
    <mergeCell ref="CJ263:CJ264"/>
    <mergeCell ref="CK263:CK264"/>
    <mergeCell ref="CJ23:CJ24"/>
    <mergeCell ref="CK23:CK24"/>
    <mergeCell ref="CG24:CI24"/>
    <mergeCell ref="CJ25:CJ30"/>
    <mergeCell ref="CK25:CK30"/>
    <mergeCell ref="CJ34:CJ35"/>
    <mergeCell ref="CK34:CK35"/>
    <mergeCell ref="CJ16:CJ17"/>
    <mergeCell ref="CK16:CK17"/>
    <mergeCell ref="CJ18:CJ19"/>
    <mergeCell ref="CK18:CK19"/>
    <mergeCell ref="CJ21:CJ22"/>
    <mergeCell ref="CK21:CK22"/>
    <mergeCell ref="CJ12:CJ13"/>
    <mergeCell ref="CK12:CK13"/>
    <mergeCell ref="CJ14:CJ15"/>
    <mergeCell ref="CK14:CK15"/>
    <mergeCell ref="CG15:CI15"/>
    <mergeCell ref="F550:J550"/>
    <mergeCell ref="L550:N550"/>
    <mergeCell ref="F570:J570"/>
    <mergeCell ref="L570:N570"/>
    <mergeCell ref="L68:N68"/>
    <mergeCell ref="I69:K69"/>
    <mergeCell ref="L69:O69"/>
    <mergeCell ref="P69:R69"/>
    <mergeCell ref="S69:U69"/>
    <mergeCell ref="I49:K49"/>
    <mergeCell ref="P49:R49"/>
    <mergeCell ref="L49:O49"/>
    <mergeCell ref="S49:U49"/>
    <mergeCell ref="L48:N48"/>
    <mergeCell ref="L106:N106"/>
    <mergeCell ref="I107:K107"/>
    <mergeCell ref="L107:O107"/>
    <mergeCell ref="P107:R107"/>
    <mergeCell ref="S107:U107"/>
    <mergeCell ref="L87:N87"/>
    <mergeCell ref="I88:K88"/>
    <mergeCell ref="L88:O88"/>
    <mergeCell ref="P88:R88"/>
    <mergeCell ref="F610:J610"/>
    <mergeCell ref="L610:N610"/>
    <mergeCell ref="I611:K611"/>
    <mergeCell ref="L611:O611"/>
    <mergeCell ref="F630:J630"/>
    <mergeCell ref="L630:N630"/>
    <mergeCell ref="I631:K631"/>
    <mergeCell ref="L631:O631"/>
    <mergeCell ref="P631:R631"/>
    <mergeCell ref="P611:R611"/>
    <mergeCell ref="S611:U611"/>
    <mergeCell ref="AJ49:AK49"/>
    <mergeCell ref="AL49:AM49"/>
    <mergeCell ref="AN49:AO49"/>
    <mergeCell ref="AJ69:AK69"/>
    <mergeCell ref="AL69:AM69"/>
    <mergeCell ref="AN69:AO69"/>
    <mergeCell ref="AJ88:AK88"/>
    <mergeCell ref="AL88:AM88"/>
    <mergeCell ref="AN88:AO88"/>
    <mergeCell ref="AJ107:AK107"/>
    <mergeCell ref="AL107:AM107"/>
    <mergeCell ref="AN107:AO107"/>
    <mergeCell ref="AJ126:AK126"/>
    <mergeCell ref="AL126:AM126"/>
    <mergeCell ref="AN126:AO126"/>
    <mergeCell ref="AJ165:AK165"/>
    <mergeCell ref="AL165:AM165"/>
    <mergeCell ref="AN165:AO165"/>
    <mergeCell ref="AJ184:AK184"/>
    <mergeCell ref="AL184:AM184"/>
    <mergeCell ref="AN184:AO184"/>
    <mergeCell ref="AJ203:AK203"/>
    <mergeCell ref="AL203:AM203"/>
    <mergeCell ref="AN203:AO203"/>
    <mergeCell ref="AJ222:AK222"/>
    <mergeCell ref="AL222:AM222"/>
    <mergeCell ref="AN222:AO222"/>
    <mergeCell ref="AJ241:AK241"/>
    <mergeCell ref="AL241:AM241"/>
    <mergeCell ref="AN241:AO241"/>
    <mergeCell ref="AJ260:AK260"/>
    <mergeCell ref="AL260:AM260"/>
    <mergeCell ref="AN260:AO260"/>
    <mergeCell ref="AJ279:AK279"/>
    <mergeCell ref="AL279:AM279"/>
    <mergeCell ref="AN279:AO279"/>
    <mergeCell ref="AJ298:AK298"/>
    <mergeCell ref="AL298:AM298"/>
    <mergeCell ref="AN298:AO298"/>
    <mergeCell ref="AJ317:AK317"/>
    <mergeCell ref="AL317:AM317"/>
    <mergeCell ref="AN317:AO317"/>
    <mergeCell ref="AJ336:AK336"/>
    <mergeCell ref="AL336:AM336"/>
    <mergeCell ref="AN336:AO336"/>
    <mergeCell ref="AJ433:AK433"/>
    <mergeCell ref="AL433:AM433"/>
    <mergeCell ref="AN433:AO433"/>
    <mergeCell ref="AJ452:AK452"/>
    <mergeCell ref="AL452:AM452"/>
    <mergeCell ref="AN452:AO452"/>
    <mergeCell ref="AJ355:AK355"/>
    <mergeCell ref="AL355:AM355"/>
    <mergeCell ref="AN355:AO355"/>
    <mergeCell ref="AJ374:AK374"/>
    <mergeCell ref="AL374:AM374"/>
    <mergeCell ref="AN374:AO374"/>
    <mergeCell ref="AJ413:AK413"/>
    <mergeCell ref="AL413:AM413"/>
    <mergeCell ref="AN413:AO413"/>
    <mergeCell ref="AJ471:AK471"/>
    <mergeCell ref="AL471:AM471"/>
    <mergeCell ref="AN471:AO471"/>
    <mergeCell ref="AJ490:AK490"/>
    <mergeCell ref="AL490:AM490"/>
    <mergeCell ref="AN490:AO490"/>
    <mergeCell ref="AJ509:AK509"/>
    <mergeCell ref="AL509:AM509"/>
    <mergeCell ref="AN509:AO509"/>
    <mergeCell ref="A45:A48"/>
    <mergeCell ref="BL8:BO8"/>
    <mergeCell ref="BL6:BO6"/>
    <mergeCell ref="AJ611:AK611"/>
    <mergeCell ref="AL611:AM611"/>
    <mergeCell ref="AN611:AO611"/>
    <mergeCell ref="AJ652:AK652"/>
    <mergeCell ref="AL652:AM652"/>
    <mergeCell ref="AN652:AO652"/>
    <mergeCell ref="AJ393:AK393"/>
    <mergeCell ref="AL393:AM393"/>
    <mergeCell ref="AN393:AO393"/>
    <mergeCell ref="AJ528:AK528"/>
    <mergeCell ref="AL528:AM528"/>
    <mergeCell ref="AN528:AO528"/>
    <mergeCell ref="AJ551:AK551"/>
    <mergeCell ref="AL551:AM551"/>
    <mergeCell ref="AN551:AO551"/>
    <mergeCell ref="AJ571:AK571"/>
    <mergeCell ref="AL571:AM571"/>
    <mergeCell ref="AN571:AO571"/>
    <mergeCell ref="AJ591:AK591"/>
    <mergeCell ref="AL591:AM591"/>
    <mergeCell ref="AN591:AO591"/>
  </mergeCells>
  <pageMargins left="0.7" right="0.7" top="0.75" bottom="0.75" header="0.3" footer="0.3"/>
  <pageSetup scale="41" fitToHeight="8" orientation="landscape" horizontalDpi="0" verticalDpi="0"/>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S31"/>
  <sheetViews>
    <sheetView topLeftCell="A4" workbookViewId="0">
      <selection activeCell="J11" sqref="J11:K11"/>
    </sheetView>
  </sheetViews>
  <sheetFormatPr baseColWidth="10" defaultRowHeight="16" x14ac:dyDescent="0.2"/>
  <cols>
    <col min="3" max="3" width="73.5" customWidth="1"/>
    <col min="4" max="4" width="27.1640625" customWidth="1"/>
    <col min="5" max="5" width="9.83203125" customWidth="1"/>
    <col min="6" max="6" width="11" customWidth="1"/>
    <col min="7" max="7" width="14.83203125" customWidth="1"/>
    <col min="8" max="8" width="14" customWidth="1"/>
    <col min="9" max="9" width="21.6640625" customWidth="1"/>
    <col min="10" max="10" width="29.5" customWidth="1"/>
    <col min="11" max="11" width="29.1640625" customWidth="1"/>
    <col min="15" max="15" width="24.33203125" customWidth="1"/>
    <col min="19" max="19" width="13.6640625" customWidth="1"/>
  </cols>
  <sheetData>
    <row r="1" spans="1:19" ht="31" customHeight="1" x14ac:dyDescent="0.25">
      <c r="B1" s="410" t="s">
        <v>2003</v>
      </c>
      <c r="D1" s="2177"/>
      <c r="G1" s="9" t="s">
        <v>2009</v>
      </c>
    </row>
    <row r="2" spans="1:19" ht="31" customHeight="1" x14ac:dyDescent="0.25">
      <c r="B2" s="410" t="s">
        <v>2004</v>
      </c>
      <c r="D2" s="2177"/>
    </row>
    <row r="3" spans="1:19" ht="31" customHeight="1" x14ac:dyDescent="0.2"/>
    <row r="4" spans="1:19" ht="30" customHeight="1" x14ac:dyDescent="0.2">
      <c r="C4" s="416" t="s">
        <v>330</v>
      </c>
      <c r="D4" s="416"/>
      <c r="E4" s="416"/>
    </row>
    <row r="5" spans="1:19" ht="30" customHeight="1" x14ac:dyDescent="0.25">
      <c r="A5" s="1869" t="s">
        <v>1809</v>
      </c>
      <c r="C5" s="976" t="s">
        <v>991</v>
      </c>
      <c r="D5" s="976"/>
      <c r="E5" s="976"/>
      <c r="F5" s="977"/>
      <c r="G5" s="977"/>
      <c r="H5" s="977"/>
      <c r="I5" s="977"/>
      <c r="J5" s="977"/>
      <c r="K5" s="977"/>
      <c r="L5" s="977"/>
      <c r="M5" s="977"/>
      <c r="N5" s="977"/>
      <c r="O5" s="977"/>
      <c r="P5" s="977"/>
    </row>
    <row r="6" spans="1:19" ht="30" customHeight="1" x14ac:dyDescent="0.25">
      <c r="C6" s="1138" t="s">
        <v>992</v>
      </c>
      <c r="D6" s="1138"/>
      <c r="E6" s="1138"/>
      <c r="F6" s="977"/>
      <c r="G6" s="977"/>
      <c r="H6" s="977"/>
      <c r="I6" s="977"/>
      <c r="J6" s="977"/>
      <c r="K6" s="977"/>
      <c r="L6" s="977"/>
      <c r="M6" s="977"/>
      <c r="N6" s="977"/>
      <c r="O6" s="977"/>
      <c r="P6" s="977"/>
    </row>
    <row r="7" spans="1:19" ht="30" customHeight="1" x14ac:dyDescent="0.25">
      <c r="C7" s="976" t="s">
        <v>993</v>
      </c>
      <c r="D7" s="976"/>
      <c r="E7" s="976"/>
      <c r="F7" s="977"/>
      <c r="G7" s="977"/>
      <c r="H7" s="977"/>
      <c r="I7" s="977"/>
      <c r="J7" s="977"/>
      <c r="K7" s="21"/>
      <c r="L7" s="1137"/>
      <c r="M7" s="977"/>
      <c r="N7" s="977"/>
      <c r="O7" s="977"/>
      <c r="P7" s="977"/>
    </row>
    <row r="8" spans="1:19" ht="25" customHeight="1" x14ac:dyDescent="0.25">
      <c r="C8" s="2142"/>
      <c r="D8" s="2142"/>
      <c r="E8" s="2142"/>
      <c r="F8" s="80"/>
      <c r="G8" s="80"/>
      <c r="H8" s="80"/>
      <c r="I8" s="80"/>
      <c r="J8" s="80"/>
      <c r="K8" s="7"/>
      <c r="L8" s="525"/>
      <c r="M8" s="80"/>
      <c r="N8" s="80"/>
      <c r="O8" s="80"/>
      <c r="P8" s="80"/>
    </row>
    <row r="9" spans="1:19" ht="25" customHeight="1" x14ac:dyDescent="0.25">
      <c r="C9" s="2142"/>
      <c r="D9" s="2142"/>
      <c r="E9" s="2142"/>
      <c r="F9" s="80"/>
      <c r="G9" s="80"/>
      <c r="H9" s="80"/>
      <c r="I9" s="80"/>
      <c r="J9" s="80"/>
      <c r="K9" s="7"/>
      <c r="L9" s="525"/>
      <c r="M9" s="80"/>
      <c r="N9" s="80"/>
      <c r="O9" s="80"/>
      <c r="P9" s="80"/>
    </row>
    <row r="10" spans="1:19" ht="25" customHeight="1" thickBot="1" x14ac:dyDescent="0.3">
      <c r="C10" s="2142"/>
      <c r="D10" s="2142"/>
      <c r="E10" s="2142"/>
      <c r="F10" s="80"/>
      <c r="G10" s="2613" t="s">
        <v>1956</v>
      </c>
      <c r="H10" s="2613"/>
      <c r="I10" s="80"/>
      <c r="J10" s="80"/>
      <c r="K10" s="7"/>
      <c r="L10" s="525"/>
      <c r="M10" s="80"/>
      <c r="N10" s="80"/>
      <c r="O10" s="80"/>
      <c r="P10" s="80" t="s">
        <v>1828</v>
      </c>
    </row>
    <row r="11" spans="1:19" ht="25" customHeight="1" x14ac:dyDescent="0.25">
      <c r="C11" s="2142"/>
      <c r="D11" s="2142"/>
      <c r="E11" s="2142"/>
      <c r="F11" s="80"/>
      <c r="G11" s="1264" t="s">
        <v>1954</v>
      </c>
      <c r="H11" s="1264" t="s">
        <v>1955</v>
      </c>
      <c r="I11" s="80"/>
      <c r="J11" s="2614" t="s">
        <v>2202</v>
      </c>
      <c r="K11" s="2615"/>
      <c r="L11" s="525"/>
      <c r="M11" s="80"/>
      <c r="N11" s="80"/>
      <c r="O11" s="80"/>
      <c r="P11" s="2568" t="s">
        <v>1964</v>
      </c>
      <c r="Q11" s="2558"/>
      <c r="R11" s="2562" t="s">
        <v>1955</v>
      </c>
      <c r="S11" s="2563"/>
    </row>
    <row r="12" spans="1:19" ht="52" customHeight="1" x14ac:dyDescent="0.2">
      <c r="D12" t="s">
        <v>1857</v>
      </c>
      <c r="E12" s="1814" t="s">
        <v>22</v>
      </c>
      <c r="F12" s="1923" t="s">
        <v>226</v>
      </c>
      <c r="G12" s="88"/>
      <c r="H12" s="88"/>
      <c r="I12" s="3" t="s">
        <v>1963</v>
      </c>
      <c r="J12" s="706" t="s">
        <v>2027</v>
      </c>
      <c r="K12" s="291" t="s">
        <v>1967</v>
      </c>
      <c r="L12" t="s">
        <v>753</v>
      </c>
      <c r="P12" s="1922" t="s">
        <v>1058</v>
      </c>
      <c r="Q12" s="1824" t="s">
        <v>1059</v>
      </c>
      <c r="R12" s="5" t="s">
        <v>1058</v>
      </c>
      <c r="S12" s="1919" t="s">
        <v>1059</v>
      </c>
    </row>
    <row r="13" spans="1:19" ht="38" customHeight="1" x14ac:dyDescent="0.2">
      <c r="A13" s="817"/>
      <c r="B13" s="7" t="str">
        <f>Test_Bible!A105</f>
        <v>H05a</v>
      </c>
      <c r="C13" s="25" t="str">
        <f>BIBLE!F46</f>
        <v>Arrivait-il que l'autre parent hausse le ton ou vous insulte pour imposer son point de vue ou sa volonté ?</v>
      </c>
      <c r="D13" s="2559" t="s">
        <v>1951</v>
      </c>
      <c r="E13" s="14">
        <f>Test_Bible!D105</f>
        <v>3</v>
      </c>
      <c r="F13" s="1830">
        <f>Test_Bible!P105</f>
        <v>2</v>
      </c>
      <c r="G13" s="1873" t="s">
        <v>1937</v>
      </c>
      <c r="H13" s="1873" t="s">
        <v>1961</v>
      </c>
      <c r="I13" s="6"/>
      <c r="J13" s="1499"/>
      <c r="K13" t="s">
        <v>1965</v>
      </c>
      <c r="P13" s="2065">
        <v>0</v>
      </c>
      <c r="Q13" s="2066">
        <v>1</v>
      </c>
      <c r="R13" s="8">
        <v>2</v>
      </c>
      <c r="S13" s="2080">
        <v>10</v>
      </c>
    </row>
    <row r="14" spans="1:19" ht="36" customHeight="1" x14ac:dyDescent="0.2">
      <c r="A14" s="817"/>
      <c r="B14" s="7" t="str">
        <f>Test_Bible!A107</f>
        <v>H06a</v>
      </c>
      <c r="C14" s="25" t="str">
        <f>BIBLE!F48</f>
        <v>Arrivait-il que l'autre parent présente à votre entourage une vision négative de vos compétences parentales ?</v>
      </c>
      <c r="D14" s="2561"/>
      <c r="E14" s="14">
        <f>Test_Bible!D107</f>
        <v>3</v>
      </c>
      <c r="F14" s="1830">
        <f>Test_Bible!P107</f>
        <v>0</v>
      </c>
      <c r="G14" s="1873" t="s">
        <v>1937</v>
      </c>
      <c r="H14" s="1873" t="s">
        <v>1961</v>
      </c>
      <c r="I14" s="6"/>
      <c r="J14" s="1499"/>
      <c r="P14" s="2065">
        <v>0</v>
      </c>
      <c r="Q14" s="2066">
        <v>1</v>
      </c>
      <c r="R14" s="8">
        <v>2</v>
      </c>
      <c r="S14" s="2080">
        <v>10</v>
      </c>
    </row>
    <row r="15" spans="1:19" ht="30" customHeight="1" x14ac:dyDescent="0.2">
      <c r="B15" s="7"/>
      <c r="C15" s="25"/>
      <c r="D15" s="2078"/>
      <c r="E15" s="2050"/>
      <c r="F15" s="2050"/>
      <c r="G15" s="2143"/>
      <c r="H15" s="2143"/>
      <c r="I15" s="2143">
        <f>SUM(F13:F14)</f>
        <v>2</v>
      </c>
      <c r="J15" s="2143"/>
      <c r="P15" s="2146">
        <f>SUM(P13:P14)</f>
        <v>0</v>
      </c>
      <c r="Q15" s="14">
        <f t="shared" ref="Q15:S15" si="0">SUM(Q13:Q14)</f>
        <v>2</v>
      </c>
      <c r="R15" s="14">
        <f t="shared" si="0"/>
        <v>4</v>
      </c>
      <c r="S15" s="2147">
        <f t="shared" si="0"/>
        <v>20</v>
      </c>
    </row>
    <row r="16" spans="1:19" ht="30" customHeight="1" x14ac:dyDescent="0.2">
      <c r="A16" s="1869"/>
      <c r="B16" s="7" t="str">
        <f>BIBLE!E52</f>
        <v>PCR01a</v>
      </c>
      <c r="C16" s="25" t="str">
        <f>BIBLE!F52</f>
        <v>Vous devez marcher sur des œufs afin d'éviter les conflits.</v>
      </c>
      <c r="D16" s="2559" t="s">
        <v>1953</v>
      </c>
      <c r="E16" s="14">
        <f>Test_Bible!D113</f>
        <v>2</v>
      </c>
      <c r="F16" s="1830">
        <f>Test_Bible!P113</f>
        <v>0</v>
      </c>
      <c r="G16" s="1873" t="s">
        <v>1962</v>
      </c>
      <c r="H16" s="1873" t="s">
        <v>1959</v>
      </c>
      <c r="I16" s="6"/>
      <c r="J16" s="1499"/>
      <c r="K16" t="s">
        <v>2102</v>
      </c>
      <c r="P16" s="2065">
        <v>0</v>
      </c>
      <c r="Q16" s="2066">
        <v>4</v>
      </c>
      <c r="R16" s="8">
        <v>5</v>
      </c>
      <c r="S16" s="2080">
        <v>10</v>
      </c>
    </row>
    <row r="17" spans="1:19" ht="38" customHeight="1" x14ac:dyDescent="0.2">
      <c r="A17" s="2141"/>
      <c r="B17" s="25" t="str">
        <f>Test_Bible!A114</f>
        <v>PCR01a1</v>
      </c>
      <c r="C17" s="25" t="str">
        <f>BIBLE!F53</f>
        <v xml:space="preserve"> Arrive-t-il que l'autre parent hausse la voix ou utilise des jurons pour imposer sa vision des choses ?</v>
      </c>
      <c r="D17" s="2560"/>
      <c r="E17" s="14">
        <f>Test_Bible!D114</f>
        <v>3</v>
      </c>
      <c r="F17" s="1830">
        <f>Test_Bible!P114</f>
        <v>0</v>
      </c>
      <c r="G17" s="1873">
        <v>0</v>
      </c>
      <c r="H17" s="1873" t="s">
        <v>386</v>
      </c>
      <c r="I17" s="6"/>
      <c r="J17" s="1499"/>
      <c r="P17" s="2065">
        <v>0</v>
      </c>
      <c r="Q17" s="2066">
        <v>0</v>
      </c>
      <c r="R17" s="8">
        <v>1</v>
      </c>
      <c r="S17" s="2080">
        <v>10</v>
      </c>
    </row>
    <row r="18" spans="1:19" ht="38" customHeight="1" x14ac:dyDescent="0.2">
      <c r="A18" s="817"/>
      <c r="B18" s="7" t="str">
        <f>Test_Bible!A187</f>
        <v>PFA13a</v>
      </c>
      <c r="C18" s="25" t="str">
        <f>BIBLE!F101</f>
        <v>L'autre parent vous renvoie une image négative de vous-même en tant que parent, ridiculise vos décisions ou vous insulte.</v>
      </c>
      <c r="D18" s="2560"/>
      <c r="E18" s="14">
        <f>Test_Bible!D187</f>
        <v>3</v>
      </c>
      <c r="F18" s="1830">
        <f>Test_Bible!P187</f>
        <v>4</v>
      </c>
      <c r="G18" s="1873">
        <v>0</v>
      </c>
      <c r="H18" s="1873" t="s">
        <v>386</v>
      </c>
      <c r="I18" s="6"/>
      <c r="J18" s="1499"/>
      <c r="P18" s="2065">
        <v>0</v>
      </c>
      <c r="Q18" s="2066">
        <v>0</v>
      </c>
      <c r="R18" s="8">
        <v>1</v>
      </c>
      <c r="S18" s="2080">
        <v>10</v>
      </c>
    </row>
    <row r="19" spans="1:19" ht="38" customHeight="1" x14ac:dyDescent="0.2">
      <c r="A19" s="817"/>
      <c r="B19" s="7" t="str">
        <f>Test_Bible!A189</f>
        <v>PFA13c</v>
      </c>
      <c r="C19" s="25" t="str">
        <f>BIBLE!F103</f>
        <v>L'autre parent présente à votre entourage une vision négative de vos compétences parentales ou de votre santé mentale.</v>
      </c>
      <c r="D19" s="2560"/>
      <c r="E19" s="14">
        <f>Test_Bible!D189</f>
        <v>2</v>
      </c>
      <c r="F19" s="1830">
        <f>Test_Bible!P189</f>
        <v>7</v>
      </c>
      <c r="G19" s="1873">
        <v>0</v>
      </c>
      <c r="H19" s="1873" t="s">
        <v>386</v>
      </c>
      <c r="I19" s="6"/>
      <c r="J19" s="1499"/>
      <c r="P19" s="2065">
        <v>0</v>
      </c>
      <c r="Q19" s="2066">
        <v>0</v>
      </c>
      <c r="R19" s="8">
        <v>1</v>
      </c>
      <c r="S19" s="2080">
        <v>10</v>
      </c>
    </row>
    <row r="20" spans="1:19" ht="38" customHeight="1" x14ac:dyDescent="0.2">
      <c r="A20" s="817"/>
      <c r="B20" s="7" t="str">
        <f>Test_Bible!A203</f>
        <v>PFA20a1</v>
      </c>
      <c r="C20" s="25" t="str">
        <f>BIBLE!F117</f>
        <v>Arrive-t-il que l'autre parent vous accable de questions ou de reproches par téléphone ou par courriel?</v>
      </c>
      <c r="D20" s="2560"/>
      <c r="E20" s="14">
        <f>Test_Bible!D203</f>
        <v>3</v>
      </c>
      <c r="F20" s="1830">
        <f>Test_Bible!P203</f>
        <v>2</v>
      </c>
      <c r="G20" s="1873">
        <v>0</v>
      </c>
      <c r="H20" s="1873" t="s">
        <v>386</v>
      </c>
      <c r="I20" s="6"/>
      <c r="J20" s="1499"/>
      <c r="P20" s="2065">
        <v>0</v>
      </c>
      <c r="Q20" s="2066">
        <v>0</v>
      </c>
      <c r="R20" s="8">
        <v>1</v>
      </c>
      <c r="S20" s="2080">
        <v>10</v>
      </c>
    </row>
    <row r="21" spans="1:19" ht="38" customHeight="1" x14ac:dyDescent="0.2">
      <c r="A21" s="817"/>
      <c r="B21" s="7" t="str">
        <f>Test_Bible!A204</f>
        <v>PFA20a1a</v>
      </c>
      <c r="C21" s="25" t="str">
        <f>BIBLE!F118</f>
        <v>Arrive-t-il que l'autre parent se présente à votre lieu de travail ou votre domicile sans s'annoncer ou sans invitation ?</v>
      </c>
      <c r="D21" s="2560"/>
      <c r="E21" s="14">
        <f>Test_Bible!D204</f>
        <v>3</v>
      </c>
      <c r="F21" s="1830">
        <f>Test_Bible!P204</f>
        <v>0</v>
      </c>
      <c r="G21" s="1873" t="s">
        <v>1937</v>
      </c>
      <c r="H21" s="1873" t="s">
        <v>1961</v>
      </c>
      <c r="I21" s="6"/>
      <c r="J21" s="1499"/>
      <c r="P21" s="2065">
        <v>0</v>
      </c>
      <c r="Q21" s="2066">
        <v>1</v>
      </c>
      <c r="R21" s="8">
        <v>2</v>
      </c>
      <c r="S21" s="2080">
        <v>10</v>
      </c>
    </row>
    <row r="22" spans="1:19" ht="38" customHeight="1" x14ac:dyDescent="0.2">
      <c r="A22" s="817"/>
      <c r="B22" s="7" t="str">
        <f>Test_Bible!A181</f>
        <v>PFA09a</v>
      </c>
      <c r="C22" s="25" t="str">
        <f>BIBLE!F95</f>
        <v>Est-ce que l'autre parent fait ou a déjà fait des menaces (claires ou voilées) de vous enlever les enfants ?</v>
      </c>
      <c r="D22" s="2560"/>
      <c r="E22" s="14">
        <f>Test_Bible!D181</f>
        <v>2</v>
      </c>
      <c r="F22" s="1830">
        <f>Test_Bible!P181</f>
        <v>4</v>
      </c>
      <c r="G22" s="1873">
        <v>0</v>
      </c>
      <c r="H22" s="1873" t="s">
        <v>386</v>
      </c>
      <c r="I22" s="6"/>
      <c r="J22" s="1499"/>
      <c r="P22" s="2065">
        <v>0</v>
      </c>
      <c r="Q22" s="2066">
        <v>0</v>
      </c>
      <c r="R22" s="8">
        <v>1</v>
      </c>
      <c r="S22" s="2080">
        <v>10</v>
      </c>
    </row>
    <row r="23" spans="1:19" ht="38" customHeight="1" x14ac:dyDescent="0.2">
      <c r="A23" s="817"/>
      <c r="B23" s="7" t="str">
        <f>Test_Bible!A188</f>
        <v>PFA13b</v>
      </c>
      <c r="C23" s="25" t="str">
        <f>BIBLE!F102</f>
        <v>Est-ce que l'autre parent fait ou a déjà fait des menaces (claires ou voilées) de vous enlever les enfants ?</v>
      </c>
      <c r="D23" s="2560"/>
      <c r="E23" s="14">
        <f>Test_Bible!D187</f>
        <v>3</v>
      </c>
      <c r="F23" s="1830">
        <f>Test_Bible!P187</f>
        <v>4</v>
      </c>
      <c r="G23" s="1873">
        <v>0</v>
      </c>
      <c r="H23" s="1873" t="s">
        <v>386</v>
      </c>
      <c r="I23" s="6"/>
      <c r="J23" s="1499"/>
      <c r="P23" s="2065">
        <v>0</v>
      </c>
      <c r="Q23" s="2066">
        <v>0</v>
      </c>
      <c r="R23" s="8">
        <v>1</v>
      </c>
      <c r="S23" s="2080">
        <v>10</v>
      </c>
    </row>
    <row r="24" spans="1:19" ht="38" customHeight="1" x14ac:dyDescent="0.2">
      <c r="A24" s="817"/>
      <c r="B24" s="7" t="str">
        <f>Test_Bible!A236</f>
        <v>PFA30a1</v>
      </c>
      <c r="C24" s="25" t="str">
        <f>BIBLE!F137</f>
        <v>Est-ce que l'autre parent fait ou a déjà fait des menaces (claires ou voilées) de vous enlever les enfants ?</v>
      </c>
      <c r="D24" s="2561"/>
      <c r="E24" s="14">
        <f>Test_Bible!D236</f>
        <v>3</v>
      </c>
      <c r="F24" s="1830">
        <f>Test_Bible!P236</f>
        <v>0</v>
      </c>
      <c r="G24" s="1873">
        <v>0</v>
      </c>
      <c r="H24" s="1873" t="s">
        <v>386</v>
      </c>
      <c r="I24" s="6"/>
      <c r="J24" s="1499"/>
      <c r="P24" s="2065">
        <v>0</v>
      </c>
      <c r="Q24" s="2066">
        <v>0</v>
      </c>
      <c r="R24" s="8">
        <v>1</v>
      </c>
      <c r="S24" s="2080">
        <v>10</v>
      </c>
    </row>
    <row r="25" spans="1:19" ht="29" customHeight="1" x14ac:dyDescent="0.2">
      <c r="D25" s="2144"/>
      <c r="E25" s="2144"/>
      <c r="F25" s="2144"/>
      <c r="G25" s="2144"/>
      <c r="H25" s="2144"/>
      <c r="I25" s="2145">
        <f>SUM(F16:F24)</f>
        <v>21</v>
      </c>
      <c r="J25" s="2144"/>
      <c r="P25" s="2146">
        <f>SUM(P16:P24)</f>
        <v>0</v>
      </c>
      <c r="Q25" s="14">
        <f t="shared" ref="Q25:S25" si="1">SUM(Q16:Q24)</f>
        <v>5</v>
      </c>
      <c r="R25" s="14">
        <f t="shared" si="1"/>
        <v>14</v>
      </c>
      <c r="S25" s="2147">
        <f t="shared" si="1"/>
        <v>90</v>
      </c>
    </row>
    <row r="26" spans="1:19" ht="38" customHeight="1" x14ac:dyDescent="0.2">
      <c r="A26" s="817"/>
      <c r="B26" s="25" t="str">
        <f>BIBLE!E92</f>
        <v>PFA07a</v>
      </c>
      <c r="C26" s="25" t="str">
        <f>BIBLE!F92</f>
        <v>Il arrive que l’autre parent boude votre enfant lorsqu'il est temps de rentrer chez vous (pour votre tour de garde).</v>
      </c>
      <c r="D26" s="2559" t="s">
        <v>1952</v>
      </c>
      <c r="E26" s="14">
        <f>Test_Bible!D178</f>
        <v>2</v>
      </c>
      <c r="F26" s="1830">
        <f>Test_Bible!P178</f>
        <v>2</v>
      </c>
      <c r="G26" s="1873">
        <v>0</v>
      </c>
      <c r="H26" s="1873" t="s">
        <v>386</v>
      </c>
      <c r="I26" s="6"/>
      <c r="J26" s="1499"/>
      <c r="K26" t="s">
        <v>1966</v>
      </c>
      <c r="P26" s="2065">
        <v>0</v>
      </c>
      <c r="Q26" s="2066">
        <v>0</v>
      </c>
      <c r="R26" s="8">
        <v>1</v>
      </c>
      <c r="S26" s="2080">
        <v>10</v>
      </c>
    </row>
    <row r="27" spans="1:19" ht="38" customHeight="1" x14ac:dyDescent="0.2">
      <c r="A27" s="817"/>
      <c r="B27" s="25" t="str">
        <f>BIBLE!E93</f>
        <v>PFA07a1</v>
      </c>
      <c r="C27" s="25" t="str">
        <f>BIBLE!F93</f>
        <v xml:space="preserve">Il arrive à l’autre parent de se fâcher contre votre enfant lorsqu'il ou elle exprime de l'affection pour vous. </v>
      </c>
      <c r="D27" s="2561"/>
      <c r="E27" s="14">
        <f>Test_Bible!D179</f>
        <v>3</v>
      </c>
      <c r="F27" s="1830">
        <f>Test_Bible!P179</f>
        <v>2</v>
      </c>
      <c r="G27" s="1873" t="s">
        <v>1937</v>
      </c>
      <c r="H27" s="1873" t="s">
        <v>1961</v>
      </c>
      <c r="I27" s="6"/>
      <c r="J27" s="1499"/>
      <c r="P27" s="2065">
        <v>0</v>
      </c>
      <c r="Q27" s="2066">
        <v>1</v>
      </c>
      <c r="R27" s="8">
        <v>2</v>
      </c>
      <c r="S27" s="2080">
        <v>10</v>
      </c>
    </row>
    <row r="28" spans="1:19" ht="27" customHeight="1" x14ac:dyDescent="0.2">
      <c r="B28" s="25"/>
      <c r="C28" s="25"/>
      <c r="D28" s="2078"/>
      <c r="E28" s="2050"/>
      <c r="F28" s="2143"/>
      <c r="G28" s="2143"/>
      <c r="H28" s="2143"/>
      <c r="I28" s="2143">
        <f>SUM(F26:F27)</f>
        <v>4</v>
      </c>
      <c r="J28" s="2143"/>
      <c r="P28" s="2146">
        <f>SUM(P26:P27)</f>
        <v>0</v>
      </c>
      <c r="Q28" s="14">
        <f t="shared" ref="Q28" si="2">SUM(Q26:Q27)</f>
        <v>1</v>
      </c>
      <c r="R28" s="14">
        <f t="shared" ref="R28" si="3">SUM(R26:R27)</f>
        <v>3</v>
      </c>
      <c r="S28" s="2147">
        <f t="shared" ref="S28" si="4">SUM(S26:S27)</f>
        <v>20</v>
      </c>
    </row>
    <row r="29" spans="1:19" ht="38" customHeight="1" x14ac:dyDescent="0.2">
      <c r="C29" s="54"/>
      <c r="D29" s="25"/>
      <c r="E29" s="25"/>
      <c r="F29" s="6"/>
      <c r="G29" s="6"/>
      <c r="H29" s="6"/>
      <c r="I29" s="6" t="s">
        <v>1857</v>
      </c>
      <c r="J29" s="6"/>
    </row>
    <row r="30" spans="1:19" x14ac:dyDescent="0.2">
      <c r="I30" s="55">
        <f>I15</f>
        <v>2</v>
      </c>
      <c r="J30" t="str">
        <f>IF(I15&gt;R14,"Des signes de violence conjugale avant la séparation ont été relevé dans vos réponses, consultez SOS Violence conjugale","")</f>
        <v/>
      </c>
    </row>
    <row r="31" spans="1:19" x14ac:dyDescent="0.2">
      <c r="I31" s="55">
        <f>I25</f>
        <v>21</v>
      </c>
      <c r="J31" t="str">
        <f>IF(I25&gt;R25,"Des signes de violence conjugale ont été relevé dans vos réponses, consultez SOS Violence conjugale","")</f>
        <v>Des signes de violence conjugale ont été relevé dans vos réponses, consultez SOS Violence conjugale</v>
      </c>
    </row>
  </sheetData>
  <mergeCells count="7">
    <mergeCell ref="D16:D24"/>
    <mergeCell ref="D26:D27"/>
    <mergeCell ref="G10:H10"/>
    <mergeCell ref="P11:Q11"/>
    <mergeCell ref="R11:S11"/>
    <mergeCell ref="J11:K11"/>
    <mergeCell ref="D13:D14"/>
  </mergeCells>
  <pageMargins left="0.7" right="0.7" top="0.75" bottom="0.75" header="0.3" footer="0.3"/>
  <pageSetup orientation="portrait" horizontalDpi="0" verticalDpi="0" copies="2"/>
  <drawing r:id="rId1"/>
  <extLst>
    <ext xmlns:x14="http://schemas.microsoft.com/office/spreadsheetml/2009/9/main" uri="{78C0D931-6437-407d-A8EE-F0AAD7539E65}">
      <x14:conditionalFormattings>
        <x14:conditionalFormatting xmlns:xm="http://schemas.microsoft.com/office/excel/2006/main">
          <x14:cfRule type="iconSet" priority="1" id="{C382400F-A37C-F545-9585-3AC426FFF958}">
            <x14:iconSet iconSet="3Flags" custom="1">
              <x14:cfvo type="percent">
                <xm:f>0</xm:f>
              </x14:cfvo>
              <x14:cfvo type="num">
                <xm:f>0</xm:f>
              </x14:cfvo>
              <x14:cfvo type="num">
                <xm:f>$R$15</xm:f>
              </x14:cfvo>
              <x14:cfIcon iconSet="3Flags" iconId="2"/>
              <x14:cfIcon iconSet="3Flags" iconId="2"/>
              <x14:cfIcon iconSet="3Flags" iconId="0"/>
            </x14:iconSet>
          </x14:cfRule>
          <xm:sqref>I30:I31</xm:sqref>
        </x14:conditionalFormatting>
        <x14:conditionalFormatting xmlns:xm="http://schemas.microsoft.com/office/excel/2006/main">
          <x14:cfRule type="iconSet" priority="2" id="{A6E85170-2EF6-7344-9539-954265B02282}">
            <x14:iconSet iconSet="3Flags" showValue="0" custom="1">
              <x14:cfvo type="percent">
                <xm:f>0</xm:f>
              </x14:cfvo>
              <x14:cfvo type="num">
                <xm:f>0</xm:f>
              </x14:cfvo>
              <x14:cfvo type="num">
                <xm:f>1</xm:f>
              </x14:cfvo>
              <x14:cfIcon iconSet="NoIcons" iconId="0"/>
              <x14:cfIcon iconSet="NoIcons" iconId="0"/>
              <x14:cfIcon iconSet="3Flags" iconId="0"/>
            </x14:iconSet>
          </x14:cfRule>
          <xm:sqref>J30:J32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BA62"/>
  <sheetViews>
    <sheetView topLeftCell="A2" workbookViewId="0">
      <selection activeCell="C52" sqref="A52:XFD53"/>
    </sheetView>
  </sheetViews>
  <sheetFormatPr baseColWidth="10" defaultRowHeight="16" x14ac:dyDescent="0.2"/>
  <cols>
    <col min="1" max="1" width="25.83203125" customWidth="1"/>
    <col min="2" max="2" width="13.83203125" customWidth="1"/>
    <col min="3" max="3" width="86.83203125" customWidth="1"/>
    <col min="4" max="4" width="15.5" customWidth="1"/>
    <col min="5" max="5" width="17.1640625" customWidth="1"/>
    <col min="6" max="6" width="23.6640625" customWidth="1"/>
    <col min="7" max="7" width="14.33203125" customWidth="1"/>
    <col min="8" max="8" width="40.1640625" customWidth="1"/>
    <col min="9" max="9" width="46.5" customWidth="1"/>
    <col min="10" max="14" width="42.33203125" customWidth="1"/>
    <col min="15" max="15" width="22.83203125" customWidth="1"/>
    <col min="16" max="16" width="36" customWidth="1"/>
    <col min="17" max="21" width="9.83203125" customWidth="1"/>
    <col min="22" max="22" width="11.83203125" bestFit="1" customWidth="1"/>
    <col min="23" max="32" width="22.6640625" customWidth="1"/>
    <col min="33" max="33" width="10.1640625" bestFit="1" customWidth="1"/>
    <col min="34" max="34" width="19" customWidth="1"/>
    <col min="35" max="35" width="12" customWidth="1"/>
    <col min="36" max="41" width="14.83203125" customWidth="1"/>
    <col min="42" max="42" width="12.6640625" customWidth="1"/>
    <col min="43" max="44" width="10.83203125" customWidth="1"/>
    <col min="45" max="45" width="21.5" customWidth="1"/>
    <col min="46" max="46" width="6.5" customWidth="1"/>
    <col min="47" max="49" width="17.5" customWidth="1"/>
    <col min="50" max="52" width="24.33203125" customWidth="1"/>
    <col min="53" max="53" width="17.5" customWidth="1"/>
  </cols>
  <sheetData>
    <row r="1" spans="1:53" ht="23" customHeight="1" x14ac:dyDescent="0.25">
      <c r="A1" s="410" t="s">
        <v>2003</v>
      </c>
      <c r="C1" s="2177" t="s">
        <v>2052</v>
      </c>
      <c r="O1" s="2229" t="s">
        <v>1314</v>
      </c>
      <c r="P1" s="2301" t="s">
        <v>2113</v>
      </c>
    </row>
    <row r="2" spans="1:53" x14ac:dyDescent="0.2">
      <c r="O2" s="2230" t="s">
        <v>2060</v>
      </c>
      <c r="P2" s="9"/>
      <c r="Q2" s="9"/>
      <c r="R2" s="9"/>
    </row>
    <row r="3" spans="1:53" x14ac:dyDescent="0.2">
      <c r="O3" s="2230" t="s">
        <v>2114</v>
      </c>
      <c r="P3" s="9"/>
      <c r="Q3" s="9"/>
      <c r="R3" s="2227"/>
    </row>
    <row r="4" spans="1:53" x14ac:dyDescent="0.2">
      <c r="O4" s="2230" t="s">
        <v>2065</v>
      </c>
      <c r="P4" s="9"/>
      <c r="Q4" s="9" t="s">
        <v>1700</v>
      </c>
      <c r="R4" s="2227"/>
    </row>
    <row r="5" spans="1:53" x14ac:dyDescent="0.2">
      <c r="O5" s="2230"/>
      <c r="P5" s="9" t="s">
        <v>2117</v>
      </c>
      <c r="Q5" s="2227" t="s">
        <v>2066</v>
      </c>
      <c r="R5" s="2227"/>
    </row>
    <row r="6" spans="1:53" ht="19" x14ac:dyDescent="0.25">
      <c r="A6" s="410" t="s">
        <v>2004</v>
      </c>
      <c r="C6" s="2177" t="s">
        <v>2144</v>
      </c>
      <c r="O6" s="2230"/>
      <c r="P6" s="9" t="s">
        <v>2118</v>
      </c>
      <c r="Q6" s="9" t="s">
        <v>2067</v>
      </c>
      <c r="R6" s="2227"/>
    </row>
    <row r="7" spans="1:53" x14ac:dyDescent="0.2">
      <c r="O7" s="2230"/>
      <c r="P7" s="9" t="s">
        <v>2119</v>
      </c>
      <c r="Q7" s="9" t="s">
        <v>2115</v>
      </c>
      <c r="R7" s="2227"/>
    </row>
    <row r="8" spans="1:53" ht="21" x14ac:dyDescent="0.25">
      <c r="A8" s="49"/>
      <c r="E8" s="7"/>
      <c r="O8" s="2231"/>
      <c r="P8" s="2228"/>
      <c r="Q8" s="2227"/>
      <c r="R8" s="2227"/>
      <c r="AH8" t="s">
        <v>2056</v>
      </c>
      <c r="AJ8" s="2528" t="s">
        <v>259</v>
      </c>
      <c r="AK8" s="2528"/>
      <c r="AL8" s="2528"/>
      <c r="AM8" s="2528"/>
      <c r="AN8" s="2528"/>
      <c r="AO8" s="2528"/>
      <c r="AP8" s="2528"/>
      <c r="AS8" t="s">
        <v>2056</v>
      </c>
      <c r="AU8" s="2528" t="s">
        <v>259</v>
      </c>
      <c r="AV8" s="2528"/>
      <c r="AW8" s="2528"/>
      <c r="AX8" s="2528"/>
      <c r="AY8" s="2528"/>
      <c r="AZ8" s="2528"/>
      <c r="BA8" s="2528"/>
    </row>
    <row r="9" spans="1:53" ht="21" customHeight="1" x14ac:dyDescent="0.25">
      <c r="A9" t="s">
        <v>2060</v>
      </c>
      <c r="H9" s="2631" t="s">
        <v>2202</v>
      </c>
      <c r="I9" s="2631"/>
      <c r="J9" s="2632"/>
      <c r="K9" s="1899" t="s">
        <v>1744</v>
      </c>
      <c r="L9" s="1899" t="s">
        <v>1849</v>
      </c>
      <c r="M9" s="1899"/>
      <c r="N9" s="1899"/>
      <c r="O9" s="2230" t="s">
        <v>2116</v>
      </c>
      <c r="P9" s="9"/>
      <c r="Q9" s="2227"/>
      <c r="R9" s="2227"/>
      <c r="AJ9" s="3" t="s">
        <v>434</v>
      </c>
      <c r="AK9" s="3" t="s">
        <v>435</v>
      </c>
      <c r="AL9" s="3" t="s">
        <v>1681</v>
      </c>
      <c r="AM9" s="3" t="s">
        <v>436</v>
      </c>
      <c r="AN9" s="3" t="s">
        <v>1682</v>
      </c>
      <c r="AO9" s="3" t="s">
        <v>489</v>
      </c>
      <c r="AP9" s="3" t="s">
        <v>1683</v>
      </c>
      <c r="AU9" s="3" t="s">
        <v>434</v>
      </c>
      <c r="AV9" s="3" t="s">
        <v>435</v>
      </c>
      <c r="AW9" s="3" t="s">
        <v>1681</v>
      </c>
      <c r="AX9" s="3" t="s">
        <v>436</v>
      </c>
      <c r="AY9" s="3" t="s">
        <v>1682</v>
      </c>
      <c r="AZ9" s="3" t="s">
        <v>489</v>
      </c>
      <c r="BA9" s="3" t="s">
        <v>1683</v>
      </c>
    </row>
    <row r="10" spans="1:53" ht="48" customHeight="1" x14ac:dyDescent="0.2">
      <c r="G10" s="2306" t="s">
        <v>2104</v>
      </c>
      <c r="H10" s="2635" t="s">
        <v>2123</v>
      </c>
      <c r="I10" s="2576"/>
      <c r="J10" s="2636"/>
      <c r="K10" s="2371"/>
      <c r="L10" s="2371"/>
      <c r="M10" s="2371"/>
      <c r="N10" s="2371"/>
      <c r="Q10" s="2227"/>
      <c r="AI10" s="2222"/>
      <c r="AJ10" s="2222">
        <v>0</v>
      </c>
      <c r="AK10" s="2222">
        <v>1</v>
      </c>
      <c r="AL10" s="2222">
        <v>2</v>
      </c>
      <c r="AM10" s="2222">
        <v>4</v>
      </c>
      <c r="AN10" s="2222">
        <v>7</v>
      </c>
      <c r="AO10" s="2222">
        <v>10</v>
      </c>
      <c r="AP10" s="2222">
        <v>0</v>
      </c>
      <c r="AT10" s="2222"/>
      <c r="AU10" s="2222">
        <v>0</v>
      </c>
      <c r="AV10" s="2222">
        <v>1</v>
      </c>
      <c r="AW10" s="2222">
        <v>2</v>
      </c>
      <c r="AX10" s="2222">
        <v>4</v>
      </c>
      <c r="AY10" s="2222">
        <v>7</v>
      </c>
      <c r="AZ10" s="2222">
        <v>10</v>
      </c>
      <c r="BA10" s="2222">
        <v>0</v>
      </c>
    </row>
    <row r="11" spans="1:53" ht="44" customHeight="1" x14ac:dyDescent="0.2">
      <c r="D11" s="5" t="str">
        <f>BIBLE!E208</f>
        <v>E36a1</v>
      </c>
      <c r="E11" s="5" t="str">
        <f>BIBLE!E207</f>
        <v>E36a</v>
      </c>
      <c r="F11" s="5"/>
      <c r="G11" s="2" t="s">
        <v>2002</v>
      </c>
      <c r="H11" s="5" t="s">
        <v>2120</v>
      </c>
      <c r="I11" s="5" t="s">
        <v>2121</v>
      </c>
      <c r="J11" s="5" t="s">
        <v>2122</v>
      </c>
      <c r="K11" s="5"/>
      <c r="L11" s="5"/>
      <c r="M11" s="5"/>
      <c r="N11" s="5"/>
      <c r="AG11" s="2487" t="s">
        <v>258</v>
      </c>
      <c r="AH11" t="s">
        <v>434</v>
      </c>
      <c r="AI11" s="2222">
        <v>0</v>
      </c>
      <c r="AJ11" s="5">
        <f t="shared" ref="AJ11:AO16" si="0">AJ$10-$AI11</f>
        <v>0</v>
      </c>
      <c r="AK11" s="5">
        <f t="shared" si="0"/>
        <v>1</v>
      </c>
      <c r="AL11" s="1490">
        <f t="shared" si="0"/>
        <v>2</v>
      </c>
      <c r="AM11" s="1490">
        <f t="shared" si="0"/>
        <v>4</v>
      </c>
      <c r="AN11" s="1490">
        <f t="shared" si="0"/>
        <v>7</v>
      </c>
      <c r="AO11" s="1490">
        <f t="shared" si="0"/>
        <v>10</v>
      </c>
      <c r="AP11" s="2538" t="s">
        <v>2055</v>
      </c>
      <c r="AR11" s="2487" t="s">
        <v>258</v>
      </c>
      <c r="AS11" t="s">
        <v>434</v>
      </c>
      <c r="AT11" s="2222">
        <v>0</v>
      </c>
      <c r="AU11" s="507" t="s">
        <v>2058</v>
      </c>
      <c r="AV11" s="507" t="s">
        <v>2062</v>
      </c>
      <c r="AW11" s="2223" t="s">
        <v>1941</v>
      </c>
      <c r="AX11" s="2223"/>
      <c r="AY11" s="2223"/>
      <c r="AZ11" s="2223"/>
      <c r="BA11" s="2538" t="s">
        <v>2055</v>
      </c>
    </row>
    <row r="12" spans="1:53" ht="48" customHeight="1" x14ac:dyDescent="0.2">
      <c r="D12" s="1" t="s">
        <v>258</v>
      </c>
      <c r="E12" s="1" t="s">
        <v>259</v>
      </c>
      <c r="F12" s="2298" t="s">
        <v>672</v>
      </c>
      <c r="H12" s="1"/>
      <c r="AG12" s="2487"/>
      <c r="AH12" t="s">
        <v>435</v>
      </c>
      <c r="AI12" s="2222">
        <v>1</v>
      </c>
      <c r="AJ12" s="5">
        <f t="shared" si="0"/>
        <v>-1</v>
      </c>
      <c r="AK12" s="5">
        <f t="shared" si="0"/>
        <v>0</v>
      </c>
      <c r="AL12" s="5">
        <f t="shared" si="0"/>
        <v>1</v>
      </c>
      <c r="AM12" s="1490">
        <f t="shared" si="0"/>
        <v>3</v>
      </c>
      <c r="AN12" s="1490">
        <f t="shared" si="0"/>
        <v>6</v>
      </c>
      <c r="AO12" s="1490">
        <f t="shared" si="0"/>
        <v>9</v>
      </c>
      <c r="AP12" s="2538"/>
      <c r="AR12" s="2487"/>
      <c r="AS12" t="s">
        <v>435</v>
      </c>
      <c r="AT12" s="2222">
        <v>1</v>
      </c>
      <c r="AU12" s="507" t="s">
        <v>2062</v>
      </c>
      <c r="AV12" s="507" t="s">
        <v>256</v>
      </c>
      <c r="AW12" s="507" t="s">
        <v>2062</v>
      </c>
      <c r="AX12" s="2223"/>
      <c r="AY12" s="2223"/>
      <c r="AZ12" s="2223"/>
      <c r="BA12" s="2538"/>
    </row>
    <row r="13" spans="1:53" ht="48" customHeight="1" x14ac:dyDescent="0.2">
      <c r="A13" s="2634" t="s">
        <v>1817</v>
      </c>
      <c r="B13" s="1434"/>
      <c r="C13" s="1432" t="s">
        <v>438</v>
      </c>
      <c r="D13" s="55"/>
      <c r="E13" s="55"/>
      <c r="F13" s="292"/>
      <c r="O13" s="9"/>
      <c r="P13" s="9"/>
      <c r="AG13" s="2487"/>
      <c r="AH13" t="s">
        <v>1681</v>
      </c>
      <c r="AI13" s="2222">
        <v>2</v>
      </c>
      <c r="AJ13" s="1389">
        <f t="shared" si="0"/>
        <v>-2</v>
      </c>
      <c r="AK13" s="5">
        <f t="shared" si="0"/>
        <v>-1</v>
      </c>
      <c r="AL13" s="5">
        <f t="shared" si="0"/>
        <v>0</v>
      </c>
      <c r="AM13" s="1490">
        <f t="shared" si="0"/>
        <v>2</v>
      </c>
      <c r="AN13" s="1490">
        <f t="shared" si="0"/>
        <v>5</v>
      </c>
      <c r="AO13" s="1490">
        <f t="shared" si="0"/>
        <v>8</v>
      </c>
      <c r="AP13" s="2538"/>
      <c r="AR13" s="2487"/>
      <c r="AS13" t="s">
        <v>1681</v>
      </c>
      <c r="AT13" s="2222">
        <v>2</v>
      </c>
      <c r="AU13" s="2224" t="s">
        <v>2059</v>
      </c>
      <c r="AV13" s="507" t="s">
        <v>2062</v>
      </c>
      <c r="AW13" s="507" t="s">
        <v>256</v>
      </c>
      <c r="AX13" s="2223" t="s">
        <v>1941</v>
      </c>
      <c r="AY13" s="2223"/>
      <c r="AZ13" s="2223"/>
      <c r="BA13" s="2538"/>
    </row>
    <row r="14" spans="1:53" ht="47" customHeight="1" x14ac:dyDescent="0.2">
      <c r="A14" s="2634"/>
      <c r="B14" s="1434"/>
      <c r="C14" s="1600" t="str">
        <f>Test_Bible!B341</f>
        <v>insomnie</v>
      </c>
      <c r="D14" s="6">
        <f>Test_Bible!P356</f>
        <v>4</v>
      </c>
      <c r="E14" s="6">
        <f>Test_Bible!P341</f>
        <v>4</v>
      </c>
      <c r="F14" s="2299">
        <f>D14-E14</f>
        <v>0</v>
      </c>
      <c r="K14" s="1460"/>
      <c r="L14" s="1460"/>
      <c r="O14" s="2227"/>
      <c r="P14" s="2227"/>
      <c r="Q14" s="55"/>
      <c r="R14" s="55"/>
      <c r="S14" s="55"/>
      <c r="T14" s="55"/>
      <c r="U14" s="55"/>
      <c r="AG14" s="2487"/>
      <c r="AH14" t="s">
        <v>436</v>
      </c>
      <c r="AI14" s="2222">
        <v>4</v>
      </c>
      <c r="AJ14" s="1389">
        <f t="shared" si="0"/>
        <v>-4</v>
      </c>
      <c r="AK14" s="1389">
        <f t="shared" si="0"/>
        <v>-3</v>
      </c>
      <c r="AL14" s="1389">
        <f t="shared" si="0"/>
        <v>-2</v>
      </c>
      <c r="AM14" s="5">
        <f t="shared" si="0"/>
        <v>0</v>
      </c>
      <c r="AN14" s="1490">
        <f t="shared" si="0"/>
        <v>3</v>
      </c>
      <c r="AO14" s="1490">
        <f t="shared" si="0"/>
        <v>6</v>
      </c>
      <c r="AP14" s="2538"/>
      <c r="AR14" s="2487"/>
      <c r="AS14" t="s">
        <v>436</v>
      </c>
      <c r="AT14" s="2222">
        <v>4</v>
      </c>
      <c r="AU14" s="2224"/>
      <c r="AV14" s="2224"/>
      <c r="AW14" s="2224" t="s">
        <v>2059</v>
      </c>
      <c r="AX14" s="2224" t="s">
        <v>2061</v>
      </c>
      <c r="AY14" s="2223"/>
      <c r="AZ14" s="2223"/>
      <c r="BA14" s="2538"/>
    </row>
    <row r="15" spans="1:53" ht="35" customHeight="1" x14ac:dyDescent="0.2">
      <c r="A15" s="2634"/>
      <c r="B15" s="1434"/>
      <c r="C15" s="1600" t="str">
        <f>Test_Bible!B342</f>
        <v>anxiété</v>
      </c>
      <c r="D15" s="6">
        <f>Test_Bible!P357</f>
        <v>4</v>
      </c>
      <c r="E15" s="6">
        <f>Test_Bible!P342</f>
        <v>4</v>
      </c>
      <c r="F15" s="2299">
        <f>D15-E15</f>
        <v>0</v>
      </c>
      <c r="K15" s="1460"/>
      <c r="L15" s="1460"/>
      <c r="O15" s="2227"/>
      <c r="P15" s="2227"/>
      <c r="Q15" s="55"/>
      <c r="R15" s="55"/>
      <c r="S15" s="55"/>
      <c r="T15" s="55"/>
      <c r="U15" s="55"/>
      <c r="AG15" s="2487"/>
      <c r="AH15" t="s">
        <v>1682</v>
      </c>
      <c r="AI15" s="2222">
        <v>7</v>
      </c>
      <c r="AJ15" s="1389">
        <f t="shared" si="0"/>
        <v>-7</v>
      </c>
      <c r="AK15" s="1389">
        <f t="shared" si="0"/>
        <v>-6</v>
      </c>
      <c r="AL15" s="1389">
        <f t="shared" si="0"/>
        <v>-5</v>
      </c>
      <c r="AM15" s="1389">
        <f t="shared" si="0"/>
        <v>-3</v>
      </c>
      <c r="AN15" s="5">
        <f t="shared" si="0"/>
        <v>0</v>
      </c>
      <c r="AO15" s="1490">
        <f t="shared" si="0"/>
        <v>3</v>
      </c>
      <c r="AP15" s="2538"/>
      <c r="AR15" s="2487"/>
      <c r="AS15" t="s">
        <v>1682</v>
      </c>
      <c r="AT15" s="2222">
        <v>7</v>
      </c>
      <c r="AU15" s="2224"/>
      <c r="AV15" s="2224"/>
      <c r="AW15" s="2224"/>
      <c r="AX15" s="2224"/>
      <c r="AY15" s="2224" t="s">
        <v>2061</v>
      </c>
      <c r="AZ15" s="2223"/>
      <c r="BA15" s="2538"/>
    </row>
    <row r="16" spans="1:53" ht="35" customHeight="1" x14ac:dyDescent="0.2">
      <c r="A16" s="2634"/>
      <c r="B16" s="1434"/>
      <c r="C16" s="1600" t="str">
        <f>Test_Bible!B343</f>
        <v>isolement et difficulté à socialiser</v>
      </c>
      <c r="D16" s="6">
        <f>Test_Bible!P358</f>
        <v>2</v>
      </c>
      <c r="E16" s="6">
        <f>Test_Bible!P343</f>
        <v>2</v>
      </c>
      <c r="F16" s="2299">
        <f>D16-E16</f>
        <v>0</v>
      </c>
      <c r="K16" s="1460"/>
      <c r="L16" s="1460"/>
      <c r="O16" s="2227"/>
      <c r="P16" s="2227"/>
      <c r="Q16" s="55"/>
      <c r="R16" s="55"/>
      <c r="S16" s="55"/>
      <c r="T16" s="55"/>
      <c r="U16" s="55"/>
      <c r="AG16" s="2487"/>
      <c r="AH16" t="s">
        <v>489</v>
      </c>
      <c r="AI16" s="2222">
        <v>10</v>
      </c>
      <c r="AJ16" s="1389">
        <f t="shared" si="0"/>
        <v>-10</v>
      </c>
      <c r="AK16" s="1389">
        <f t="shared" si="0"/>
        <v>-9</v>
      </c>
      <c r="AL16" s="1389">
        <f t="shared" si="0"/>
        <v>-8</v>
      </c>
      <c r="AM16" s="1389">
        <f t="shared" si="0"/>
        <v>-6</v>
      </c>
      <c r="AN16" s="1389">
        <f t="shared" si="0"/>
        <v>-3</v>
      </c>
      <c r="AO16" s="5">
        <f t="shared" si="0"/>
        <v>0</v>
      </c>
      <c r="AP16" s="2538"/>
      <c r="AR16" s="2487"/>
      <c r="AS16" t="s">
        <v>489</v>
      </c>
      <c r="AT16" s="2222">
        <v>10</v>
      </c>
      <c r="AU16" s="2224"/>
      <c r="AV16" s="2224"/>
      <c r="AW16" s="2224"/>
      <c r="AX16" s="2224"/>
      <c r="AY16" s="2224"/>
      <c r="AZ16" s="2224" t="s">
        <v>2061</v>
      </c>
      <c r="BA16" s="2538"/>
    </row>
    <row r="17" spans="1:52" ht="35" customHeight="1" x14ac:dyDescent="0.2">
      <c r="A17" s="2634"/>
      <c r="B17" s="1434"/>
      <c r="C17" s="1600" t="str">
        <f>Test_Bible!B344</f>
        <v>trouble de l'opposition</v>
      </c>
      <c r="D17" s="6">
        <f>Test_Bible!P359</f>
        <v>0</v>
      </c>
      <c r="E17" s="6">
        <f>Test_Bible!P344</f>
        <v>0</v>
      </c>
      <c r="F17" s="2299">
        <f>D17-E17</f>
        <v>0</v>
      </c>
      <c r="K17" s="1460"/>
      <c r="L17" s="1460"/>
      <c r="O17" s="2227"/>
      <c r="P17" s="2227"/>
      <c r="Q17" s="55"/>
      <c r="R17" s="55"/>
      <c r="S17" s="55"/>
      <c r="T17" s="55"/>
      <c r="U17" s="55"/>
      <c r="AG17" s="2487"/>
      <c r="AH17" t="s">
        <v>1683</v>
      </c>
      <c r="AI17" s="2222">
        <v>0</v>
      </c>
      <c r="AJ17" s="2472" t="s">
        <v>2057</v>
      </c>
      <c r="AK17" s="2472"/>
      <c r="AL17" s="2472"/>
      <c r="AM17" s="2472"/>
      <c r="AN17" s="2472"/>
      <c r="AO17" s="2472"/>
      <c r="AR17" s="2487"/>
      <c r="AS17" t="s">
        <v>1683</v>
      </c>
      <c r="AT17" s="2222">
        <v>0</v>
      </c>
      <c r="AU17" s="2472" t="s">
        <v>2057</v>
      </c>
      <c r="AV17" s="2472"/>
      <c r="AW17" s="2472"/>
      <c r="AX17" s="2472"/>
      <c r="AY17" s="2472"/>
      <c r="AZ17" s="2472"/>
    </row>
    <row r="18" spans="1:52" ht="35" customHeight="1" x14ac:dyDescent="0.2">
      <c r="A18" s="2634"/>
      <c r="B18" s="1434"/>
      <c r="C18" s="1600" t="str">
        <f>Test_Bible!B345</f>
        <v>trouble alimentaire</v>
      </c>
      <c r="D18" s="6">
        <f>Test_Bible!P360</f>
        <v>0</v>
      </c>
      <c r="E18" s="6">
        <f>Test_Bible!P345</f>
        <v>0</v>
      </c>
      <c r="F18" s="2299">
        <f>D18-E18</f>
        <v>0</v>
      </c>
      <c r="K18" s="1460"/>
      <c r="L18" s="1460"/>
      <c r="O18" s="2227"/>
      <c r="P18" s="2227"/>
      <c r="Q18" s="55"/>
      <c r="R18" s="55"/>
      <c r="S18" s="55"/>
      <c r="T18" s="55"/>
      <c r="U18" s="55"/>
      <c r="AI18" s="1734"/>
    </row>
    <row r="19" spans="1:52" ht="108" customHeight="1" x14ac:dyDescent="0.2">
      <c r="A19" s="2634"/>
      <c r="B19" s="2225"/>
      <c r="C19" s="2226"/>
      <c r="D19" s="1829"/>
      <c r="E19" s="1829"/>
      <c r="F19" s="2300">
        <f>SUM(F14:F18)</f>
        <v>0</v>
      </c>
      <c r="H19" s="2303" t="s">
        <v>2126</v>
      </c>
      <c r="I19" s="2303" t="s">
        <v>2124</v>
      </c>
      <c r="J19" s="2303" t="s">
        <v>2125</v>
      </c>
      <c r="K19" s="2303"/>
      <c r="L19" s="2303"/>
      <c r="M19" s="834"/>
      <c r="N19" s="834"/>
      <c r="O19" s="833" t="s">
        <v>2127</v>
      </c>
      <c r="P19" s="2227"/>
      <c r="Q19" s="55"/>
      <c r="R19" s="55"/>
      <c r="S19" s="55"/>
      <c r="T19" s="55"/>
      <c r="U19" s="55"/>
      <c r="AI19" s="1734"/>
      <c r="AV19" t="s">
        <v>1315</v>
      </c>
    </row>
    <row r="20" spans="1:52" ht="38" customHeight="1" x14ac:dyDescent="0.2">
      <c r="A20" s="2634"/>
      <c r="B20" s="2225"/>
      <c r="C20" s="2304"/>
      <c r="D20" s="6"/>
      <c r="E20" s="6"/>
      <c r="F20" s="2299"/>
      <c r="G20" s="2372" t="s">
        <v>2002</v>
      </c>
      <c r="H20" s="839" t="s">
        <v>2205</v>
      </c>
      <c r="I20" s="834"/>
      <c r="J20" s="834"/>
      <c r="K20" s="834"/>
      <c r="L20" s="834"/>
      <c r="M20" s="834"/>
      <c r="N20" s="834"/>
      <c r="O20" s="833"/>
      <c r="P20" s="2227"/>
      <c r="Q20" s="55"/>
      <c r="R20" s="55"/>
      <c r="S20" s="55"/>
      <c r="T20" s="55"/>
      <c r="U20" s="55"/>
      <c r="AI20" s="1734"/>
    </row>
    <row r="21" spans="1:52" ht="26" customHeight="1" x14ac:dyDescent="0.2">
      <c r="A21" s="2634"/>
      <c r="B21" s="1434"/>
      <c r="C21" s="1600" t="str">
        <f>Test_Bible!B347</f>
        <v>automutilation</v>
      </c>
      <c r="D21" s="6">
        <f>Test_Bible!P362</f>
        <v>1</v>
      </c>
      <c r="E21" s="6">
        <f>Test_Bible!P347</f>
        <v>0</v>
      </c>
      <c r="F21" s="2299">
        <f>D21-E21</f>
        <v>1</v>
      </c>
      <c r="H21" s="2305" t="s">
        <v>2206</v>
      </c>
      <c r="I21" s="1460"/>
      <c r="J21" s="1460"/>
      <c r="K21" s="2303"/>
      <c r="L21" s="2303"/>
      <c r="O21" s="2227"/>
      <c r="P21" s="2227"/>
      <c r="Q21" s="55"/>
      <c r="R21" s="55"/>
      <c r="S21" s="55"/>
      <c r="T21" s="55"/>
      <c r="U21" s="55"/>
    </row>
    <row r="22" spans="1:52" ht="26" customHeight="1" x14ac:dyDescent="0.2">
      <c r="A22" s="2634"/>
      <c r="B22" s="1434"/>
      <c r="C22" s="1600" t="str">
        <f>Test_Bible!B349</f>
        <v>dépression</v>
      </c>
      <c r="D22" s="6">
        <f>Test_Bible!P364</f>
        <v>1</v>
      </c>
      <c r="E22" s="6">
        <f>Test_Bible!P349</f>
        <v>0</v>
      </c>
      <c r="F22" s="2299">
        <f>D22-E22</f>
        <v>1</v>
      </c>
      <c r="H22" s="2305" t="s">
        <v>2206</v>
      </c>
      <c r="I22" s="2305"/>
      <c r="J22" s="2305"/>
      <c r="K22" s="2303"/>
      <c r="L22" s="2303"/>
      <c r="M22" s="2227"/>
      <c r="N22" s="2227"/>
      <c r="O22" s="2227"/>
      <c r="P22" s="2227"/>
      <c r="Q22" s="55"/>
      <c r="R22" s="55"/>
      <c r="S22" s="55"/>
      <c r="T22" s="55"/>
      <c r="U22" s="55"/>
      <c r="AU22" s="1489"/>
      <c r="AV22" t="s">
        <v>2063</v>
      </c>
    </row>
    <row r="23" spans="1:52" ht="26" customHeight="1" x14ac:dyDescent="0.2">
      <c r="A23" s="2634"/>
      <c r="B23" s="1434"/>
      <c r="C23" s="1600" t="str">
        <f>Test_Bible!B351</f>
        <v>idéation suicidaire</v>
      </c>
      <c r="D23" s="6">
        <f>Test_Bible!P366</f>
        <v>1</v>
      </c>
      <c r="E23" s="6">
        <f>Test_Bible!P351</f>
        <v>0</v>
      </c>
      <c r="F23" s="2299">
        <f>D23-E23</f>
        <v>1</v>
      </c>
      <c r="H23" s="2305" t="s">
        <v>2206</v>
      </c>
      <c r="I23" s="1460"/>
      <c r="J23" s="1460"/>
      <c r="K23" s="2303"/>
      <c r="L23" s="2303"/>
      <c r="M23" s="55"/>
      <c r="N23" s="55"/>
      <c r="O23" s="55"/>
      <c r="P23" s="55"/>
      <c r="Q23" s="55"/>
      <c r="R23" s="55"/>
      <c r="S23" s="55"/>
      <c r="T23" s="55"/>
      <c r="U23" s="55"/>
      <c r="AU23" s="2224"/>
      <c r="AV23" t="s">
        <v>2064</v>
      </c>
    </row>
    <row r="24" spans="1:52" ht="38" customHeight="1" x14ac:dyDescent="0.2">
      <c r="A24" s="1937"/>
    </row>
    <row r="25" spans="1:52" ht="33" customHeight="1" x14ac:dyDescent="0.2">
      <c r="A25" s="1937"/>
      <c r="F25" t="s">
        <v>2026</v>
      </c>
      <c r="H25" s="1460"/>
      <c r="I25" s="1460"/>
      <c r="J25" s="1460"/>
    </row>
    <row r="26" spans="1:52" ht="33" customHeight="1" x14ac:dyDescent="0.2">
      <c r="A26" s="1937"/>
      <c r="F26" t="s">
        <v>2019</v>
      </c>
      <c r="H26" s="1460"/>
      <c r="I26" s="1460"/>
      <c r="J26" s="1460"/>
    </row>
    <row r="27" spans="1:52" ht="33" customHeight="1" x14ac:dyDescent="0.2">
      <c r="A27" s="1937"/>
    </row>
    <row r="28" spans="1:52" ht="33" customHeight="1" x14ac:dyDescent="0.2">
      <c r="A28" s="1937"/>
    </row>
    <row r="29" spans="1:52" x14ac:dyDescent="0.2">
      <c r="A29" s="1937"/>
    </row>
    <row r="30" spans="1:52" x14ac:dyDescent="0.2">
      <c r="A30" s="1937"/>
      <c r="E30" s="2" t="s">
        <v>2140</v>
      </c>
      <c r="H30" s="2" t="s">
        <v>2141</v>
      </c>
    </row>
    <row r="31" spans="1:52" x14ac:dyDescent="0.2">
      <c r="A31" s="1937"/>
      <c r="F31" t="s">
        <v>2142</v>
      </c>
      <c r="G31" t="str">
        <f>VLOOKUP(F41,B42:F48,2)</f>
        <v>Anxieux</v>
      </c>
    </row>
    <row r="32" spans="1:52" ht="19" x14ac:dyDescent="0.25">
      <c r="A32" s="410" t="s">
        <v>2003</v>
      </c>
      <c r="C32" s="2177" t="s">
        <v>2053</v>
      </c>
    </row>
    <row r="33" spans="1:40" ht="21" customHeight="1" x14ac:dyDescent="0.25">
      <c r="F33" s="2307"/>
      <c r="AG33" s="3"/>
      <c r="AI33" s="2531" t="s">
        <v>1700</v>
      </c>
      <c r="AJ33" s="2531"/>
      <c r="AK33" s="2531"/>
      <c r="AL33" s="2531"/>
      <c r="AM33" s="2531"/>
      <c r="AN33" s="1786"/>
    </row>
    <row r="34" spans="1:40" ht="40" x14ac:dyDescent="0.25">
      <c r="A34" s="410" t="s">
        <v>2004</v>
      </c>
      <c r="C34" s="2221" t="s">
        <v>2054</v>
      </c>
      <c r="F34" t="s">
        <v>2143</v>
      </c>
      <c r="G34" t="str">
        <f>IF(E41=0,"aucun comportement révélé",VLOOKUP(E41,B42:F48,2))</f>
        <v>aucun comportement révélé</v>
      </c>
      <c r="AI34" s="1786"/>
      <c r="AJ34" s="1786"/>
      <c r="AK34" s="1786"/>
      <c r="AL34" s="1786"/>
      <c r="AM34" s="1786"/>
      <c r="AN34" s="1786"/>
    </row>
    <row r="35" spans="1:40" ht="21" x14ac:dyDescent="0.25">
      <c r="A35" s="410"/>
      <c r="C35" s="2285"/>
      <c r="AI35" s="1786"/>
      <c r="AJ35" s="1786"/>
      <c r="AK35" s="1786"/>
      <c r="AL35" s="1786"/>
      <c r="AM35" s="1786"/>
      <c r="AN35" s="1786"/>
    </row>
    <row r="36" spans="1:40" ht="21" x14ac:dyDescent="0.25">
      <c r="A36" s="410"/>
      <c r="C36" s="2285"/>
      <c r="AI36" s="1786"/>
      <c r="AJ36" s="1786"/>
      <c r="AK36" s="1786"/>
      <c r="AL36" s="1786"/>
      <c r="AM36" s="1786"/>
      <c r="AN36" s="1786"/>
    </row>
    <row r="37" spans="1:40" ht="69" customHeight="1" x14ac:dyDescent="0.2">
      <c r="A37" s="1937"/>
      <c r="AG37" s="5"/>
    </row>
    <row r="38" spans="1:40" ht="37" customHeight="1" x14ac:dyDescent="0.2">
      <c r="A38" s="1937"/>
      <c r="H38" s="2203" t="s">
        <v>1995</v>
      </c>
      <c r="I38" s="2302"/>
      <c r="J38" s="2302"/>
      <c r="K38" s="2204"/>
      <c r="L38" s="2204"/>
      <c r="M38" s="2204"/>
      <c r="N38" s="2204"/>
      <c r="AI38" s="2616" t="s">
        <v>1319</v>
      </c>
      <c r="AJ38" s="2616"/>
      <c r="AK38" s="2616"/>
      <c r="AL38" s="2616"/>
      <c r="AM38" s="2616"/>
      <c r="AN38" s="2616"/>
    </row>
    <row r="39" spans="1:40" ht="46" customHeight="1" x14ac:dyDescent="0.2">
      <c r="A39" s="1937"/>
      <c r="D39" s="2533" t="s">
        <v>2068</v>
      </c>
      <c r="E39" s="2533"/>
      <c r="F39" s="2533"/>
      <c r="G39" s="88" t="s">
        <v>2139</v>
      </c>
      <c r="H39" s="2635" t="s">
        <v>2128</v>
      </c>
      <c r="I39" s="2576"/>
      <c r="J39" s="2636"/>
      <c r="K39" s="2371"/>
      <c r="L39" s="2371"/>
      <c r="M39" s="2371"/>
      <c r="N39" s="2371"/>
      <c r="AH39" s="16" t="s">
        <v>1706</v>
      </c>
      <c r="AI39" s="8" t="s">
        <v>1712</v>
      </c>
      <c r="AJ39" s="8" t="s">
        <v>1716</v>
      </c>
      <c r="AK39" s="8" t="s">
        <v>1713</v>
      </c>
      <c r="AL39" s="8" t="s">
        <v>1714</v>
      </c>
      <c r="AM39" s="8" t="s">
        <v>1717</v>
      </c>
      <c r="AN39" s="8" t="s">
        <v>1715</v>
      </c>
    </row>
    <row r="40" spans="1:40" ht="70" customHeight="1" x14ac:dyDescent="0.2">
      <c r="A40" s="1937"/>
      <c r="E40" s="13" t="s">
        <v>2129</v>
      </c>
      <c r="F40" s="13" t="s">
        <v>2130</v>
      </c>
      <c r="G40" s="2604" t="s">
        <v>2131</v>
      </c>
      <c r="H40" s="706" t="s">
        <v>2133</v>
      </c>
      <c r="I40" s="706" t="s">
        <v>2132</v>
      </c>
      <c r="J40" s="706" t="s">
        <v>2138</v>
      </c>
      <c r="K40" s="706"/>
      <c r="L40" s="706"/>
      <c r="M40" s="706"/>
      <c r="N40" s="706"/>
      <c r="AG40" s="2605" t="s">
        <v>1318</v>
      </c>
      <c r="AH40" s="8" t="s">
        <v>1712</v>
      </c>
      <c r="AI40" s="2617" t="s">
        <v>1711</v>
      </c>
      <c r="AJ40" s="2618"/>
      <c r="AK40" s="2619"/>
      <c r="AL40" s="2625"/>
      <c r="AM40" s="2625"/>
      <c r="AN40" s="2625"/>
    </row>
    <row r="41" spans="1:40" ht="32" customHeight="1" x14ac:dyDescent="0.2">
      <c r="A41" s="2634" t="s">
        <v>1816</v>
      </c>
      <c r="B41" s="1433" t="s">
        <v>1316</v>
      </c>
      <c r="C41" s="1431" t="s">
        <v>1317</v>
      </c>
      <c r="E41" s="1601">
        <f>IF(Test_Bible!P313&lt;&gt;0,Test_Bible!P313,0)</f>
        <v>0</v>
      </c>
      <c r="F41" s="1601">
        <f>IF(Test_Bible!P372&lt;&gt;0,Test_Bible!P372,0)</f>
        <v>5</v>
      </c>
      <c r="G41" s="2604"/>
      <c r="H41" s="1602"/>
      <c r="I41" s="1602"/>
      <c r="J41" s="1602"/>
      <c r="K41" s="1460"/>
      <c r="L41" s="1460"/>
      <c r="M41" s="1602"/>
      <c r="N41" s="1602"/>
      <c r="O41" s="1602"/>
      <c r="P41" s="1602"/>
      <c r="AG41" s="2605"/>
      <c r="AH41" s="8" t="s">
        <v>1716</v>
      </c>
      <c r="AI41" s="2620"/>
      <c r="AJ41" s="2487"/>
      <c r="AK41" s="2621"/>
      <c r="AL41" s="2626"/>
      <c r="AM41" s="2626"/>
      <c r="AN41" s="2626"/>
    </row>
    <row r="42" spans="1:40" ht="32" customHeight="1" x14ac:dyDescent="0.2">
      <c r="A42" s="2634"/>
      <c r="B42" s="1433">
        <v>1</v>
      </c>
      <c r="C42" s="2308" t="str">
        <f>Test_Bible!B373</f>
        <v>Calme</v>
      </c>
      <c r="E42" s="90" t="str">
        <f>Test_Bible!E314</f>
        <v>x</v>
      </c>
      <c r="F42" s="5" t="str">
        <f>Test_Bible!E373</f>
        <v>x</v>
      </c>
      <c r="G42" s="2604"/>
      <c r="K42" s="1460"/>
      <c r="L42" s="1460"/>
      <c r="AG42" s="2605"/>
      <c r="AH42" s="8" t="s">
        <v>1713</v>
      </c>
      <c r="AI42" s="2622"/>
      <c r="AJ42" s="2623"/>
      <c r="AK42" s="2624"/>
      <c r="AL42" s="2627"/>
      <c r="AM42" s="2627"/>
      <c r="AN42" s="2627"/>
    </row>
    <row r="43" spans="1:40" ht="39" customHeight="1" x14ac:dyDescent="0.2">
      <c r="A43" s="2634"/>
      <c r="B43" s="1433">
        <v>2</v>
      </c>
      <c r="C43" s="2308" t="str">
        <f>Test_Bible!B374</f>
        <v>Neutre</v>
      </c>
      <c r="E43" s="90" t="str">
        <f>Test_Bible!E315</f>
        <v>x</v>
      </c>
      <c r="F43" s="5" t="str">
        <f>Test_Bible!E374</f>
        <v>x</v>
      </c>
      <c r="G43" s="2604"/>
      <c r="K43" s="1460"/>
      <c r="L43" s="1460"/>
      <c r="AG43" s="2605"/>
      <c r="AH43" s="8" t="s">
        <v>1714</v>
      </c>
      <c r="AI43" s="2625"/>
      <c r="AJ43" s="2625"/>
      <c r="AK43" s="2628"/>
      <c r="AL43" s="2628"/>
      <c r="AM43" s="2628"/>
      <c r="AN43" s="2628"/>
    </row>
    <row r="44" spans="1:40" ht="39" customHeight="1" x14ac:dyDescent="0.2">
      <c r="A44" s="2634"/>
      <c r="B44" s="1433">
        <v>3</v>
      </c>
      <c r="C44" s="2308" t="str">
        <f>Test_Bible!B375</f>
        <v>Enjoué.e</v>
      </c>
      <c r="E44" s="90" t="str">
        <f>Test_Bible!E316</f>
        <v>x</v>
      </c>
      <c r="F44" s="5" t="str">
        <f>Test_Bible!E375</f>
        <v>x</v>
      </c>
      <c r="G44" s="2604"/>
      <c r="K44" s="1460"/>
      <c r="L44" s="1460"/>
      <c r="AG44" s="2605"/>
      <c r="AH44" s="8" t="s">
        <v>1717</v>
      </c>
      <c r="AI44" s="2626"/>
      <c r="AJ44" s="2626"/>
      <c r="AK44" s="2629"/>
      <c r="AL44" s="2629"/>
      <c r="AM44" s="2629"/>
      <c r="AN44" s="2629"/>
    </row>
    <row r="45" spans="1:40" ht="47" customHeight="1" x14ac:dyDescent="0.2">
      <c r="A45" s="2634"/>
      <c r="B45" s="1433"/>
      <c r="C45" s="2308"/>
      <c r="E45" s="90"/>
      <c r="F45" s="5"/>
      <c r="G45" s="2604"/>
      <c r="H45" s="557"/>
      <c r="I45" s="557"/>
      <c r="J45" s="557"/>
      <c r="K45" s="1460"/>
      <c r="L45" s="1460"/>
      <c r="M45" s="8"/>
      <c r="N45" s="8"/>
      <c r="AG45" s="2605"/>
      <c r="AH45" s="8"/>
      <c r="AI45" s="2626"/>
      <c r="AJ45" s="2626"/>
      <c r="AK45" s="2629"/>
      <c r="AL45" s="2629"/>
      <c r="AM45" s="2629"/>
      <c r="AN45" s="2629"/>
    </row>
    <row r="46" spans="1:40" ht="39" customHeight="1" x14ac:dyDescent="0.2">
      <c r="A46" s="2634"/>
      <c r="B46" s="1433">
        <v>4</v>
      </c>
      <c r="C46" s="2308" t="str">
        <f>Test_Bible!B376</f>
        <v>Taciturne</v>
      </c>
      <c r="E46" s="90" t="str">
        <f>Test_Bible!E317</f>
        <v>x</v>
      </c>
      <c r="F46" s="5" t="str">
        <f>Test_Bible!E376</f>
        <v>x</v>
      </c>
      <c r="G46" s="2604"/>
      <c r="K46" s="1460"/>
      <c r="L46" s="1460"/>
      <c r="AG46" s="2605"/>
      <c r="AH46" s="8" t="s">
        <v>1715</v>
      </c>
      <c r="AI46" s="2627"/>
      <c r="AJ46" s="2627"/>
      <c r="AK46" s="2630"/>
      <c r="AL46" s="2630"/>
      <c r="AM46" s="2630"/>
      <c r="AN46" s="2630"/>
    </row>
    <row r="47" spans="1:40" ht="29" customHeight="1" x14ac:dyDescent="0.2">
      <c r="A47" s="2634"/>
      <c r="B47" s="1433">
        <v>5</v>
      </c>
      <c r="C47" s="2308" t="str">
        <f>Test_Bible!B377</f>
        <v>Anxieux</v>
      </c>
      <c r="E47" s="90" t="str">
        <f>Test_Bible!E318</f>
        <v>x</v>
      </c>
      <c r="F47" s="5">
        <f>Test_Bible!E377</f>
        <v>1</v>
      </c>
      <c r="G47" s="2604"/>
      <c r="K47" s="1460"/>
      <c r="L47" s="1460"/>
      <c r="AH47" s="7" t="s">
        <v>1873</v>
      </c>
    </row>
    <row r="48" spans="1:40" ht="28" customHeight="1" x14ac:dyDescent="0.2">
      <c r="A48" s="2634"/>
      <c r="B48" s="1433">
        <v>6</v>
      </c>
      <c r="C48" s="2308" t="str">
        <f>Test_Bible!B378</f>
        <v>Agressif</v>
      </c>
      <c r="E48" s="90" t="str">
        <f>Test_Bible!E319</f>
        <v>x</v>
      </c>
      <c r="F48" s="5" t="str">
        <f>Test_Bible!E378</f>
        <v>x</v>
      </c>
      <c r="G48" s="2604"/>
      <c r="K48" s="1460"/>
      <c r="L48" s="1460"/>
      <c r="AJ48" t="s">
        <v>1315</v>
      </c>
    </row>
    <row r="49" spans="1:41" ht="65" customHeight="1" x14ac:dyDescent="0.2">
      <c r="A49" s="2293"/>
      <c r="B49" s="1433"/>
      <c r="C49" s="1599"/>
      <c r="D49" s="5"/>
      <c r="E49" s="90"/>
      <c r="F49" s="5"/>
      <c r="G49" s="2604"/>
      <c r="H49" s="2257" t="s">
        <v>2135</v>
      </c>
      <c r="I49" s="2257" t="s">
        <v>2136</v>
      </c>
      <c r="J49" s="2257" t="s">
        <v>2137</v>
      </c>
      <c r="K49" s="1460"/>
      <c r="L49" s="1460"/>
      <c r="M49" s="25"/>
      <c r="N49" s="25"/>
    </row>
    <row r="50" spans="1:41" ht="48" customHeight="1" x14ac:dyDescent="0.2">
      <c r="B50" s="2633" t="s">
        <v>2134</v>
      </c>
      <c r="C50" s="2633"/>
    </row>
    <row r="51" spans="1:41" ht="81" customHeight="1" x14ac:dyDescent="0.2">
      <c r="F51" s="7" t="s">
        <v>2026</v>
      </c>
      <c r="H51" s="2257"/>
      <c r="I51" s="2257"/>
      <c r="J51" s="2257"/>
      <c r="K51" s="25"/>
      <c r="L51" s="25"/>
      <c r="M51" s="25"/>
      <c r="N51" s="25"/>
    </row>
    <row r="52" spans="1:41" ht="36" customHeight="1" x14ac:dyDescent="0.2">
      <c r="F52" s="7" t="s">
        <v>2019</v>
      </c>
      <c r="H52" s="1460"/>
      <c r="I52" s="1460"/>
      <c r="J52" s="1460"/>
    </row>
    <row r="58" spans="1:41" x14ac:dyDescent="0.2">
      <c r="AL58" s="5"/>
      <c r="AM58" s="5"/>
      <c r="AN58" s="5"/>
      <c r="AO58" s="5"/>
    </row>
    <row r="59" spans="1:41" x14ac:dyDescent="0.2">
      <c r="AJ59" s="25"/>
      <c r="AK59" s="7"/>
      <c r="AL59" s="834"/>
      <c r="AM59" s="834"/>
      <c r="AN59" s="834"/>
      <c r="AO59" s="834"/>
    </row>
    <row r="60" spans="1:41" x14ac:dyDescent="0.2">
      <c r="AJ60" s="25"/>
      <c r="AK60" s="7"/>
      <c r="AL60" s="834"/>
      <c r="AM60" s="834"/>
      <c r="AN60" s="834"/>
      <c r="AO60" s="834"/>
    </row>
    <row r="61" spans="1:41" x14ac:dyDescent="0.2">
      <c r="AJ61" s="25"/>
      <c r="AK61" s="7"/>
      <c r="AL61" s="834"/>
      <c r="AM61" s="834"/>
      <c r="AN61" s="834"/>
      <c r="AO61" s="834"/>
    </row>
    <row r="62" spans="1:41" x14ac:dyDescent="0.2">
      <c r="AJ62" s="25"/>
      <c r="AK62" s="7"/>
      <c r="AL62" s="834"/>
      <c r="AM62" s="13"/>
      <c r="AN62" s="13"/>
      <c r="AO62" s="13"/>
    </row>
  </sheetData>
  <mergeCells count="29">
    <mergeCell ref="H9:J9"/>
    <mergeCell ref="D39:F39"/>
    <mergeCell ref="G40:G49"/>
    <mergeCell ref="B50:C50"/>
    <mergeCell ref="A13:A23"/>
    <mergeCell ref="A41:A48"/>
    <mergeCell ref="H10:J10"/>
    <mergeCell ref="H39:J39"/>
    <mergeCell ref="AU8:BA8"/>
    <mergeCell ref="AR11:AR17"/>
    <mergeCell ref="BA11:BA16"/>
    <mergeCell ref="AU17:AZ17"/>
    <mergeCell ref="AJ8:AP8"/>
    <mergeCell ref="AP11:AP16"/>
    <mergeCell ref="AI33:AM33"/>
    <mergeCell ref="AG11:AG17"/>
    <mergeCell ref="AJ17:AO17"/>
    <mergeCell ref="AI38:AN38"/>
    <mergeCell ref="AG40:AG46"/>
    <mergeCell ref="AI40:AK42"/>
    <mergeCell ref="AL40:AL42"/>
    <mergeCell ref="AM40:AM42"/>
    <mergeCell ref="AN40:AN42"/>
    <mergeCell ref="AI43:AI46"/>
    <mergeCell ref="AJ43:AJ46"/>
    <mergeCell ref="AK43:AK46"/>
    <mergeCell ref="AL43:AL46"/>
    <mergeCell ref="AM43:AM46"/>
    <mergeCell ref="AN43:AN46"/>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6DD7D46B-44E0-5548-BEA0-873E2FAD5C56}">
            <x14:iconSet custom="1">
              <x14:cfvo type="percent">
                <xm:f>0</xm:f>
              </x14:cfvo>
              <x14:cfvo type="num">
                <xm:f>1</xm:f>
              </x14:cfvo>
              <x14:cfvo type="num">
                <xm:f>1</xm:f>
              </x14:cfvo>
              <x14:cfIcon iconSet="3TrafficLights1" iconId="0"/>
              <x14:cfIcon iconSet="3TrafficLights1" iconId="0"/>
              <x14:cfIcon iconSet="3TrafficLights1" iconId="0"/>
            </x14:iconSet>
          </x14:cfRule>
          <xm:sqref>AG37:AG38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O66"/>
  <sheetViews>
    <sheetView topLeftCell="G59" zoomScale="83" zoomScaleNormal="83" workbookViewId="0">
      <selection activeCell="G66" sqref="A66:XFD67"/>
    </sheetView>
  </sheetViews>
  <sheetFormatPr baseColWidth="10" defaultColWidth="12.1640625" defaultRowHeight="16" x14ac:dyDescent="0.2"/>
  <cols>
    <col min="1" max="1" width="17.6640625" customWidth="1"/>
    <col min="2" max="2" width="21.1640625" customWidth="1"/>
    <col min="3" max="3" width="6.33203125" customWidth="1"/>
    <col min="4" max="4" width="48.6640625" customWidth="1"/>
    <col min="5" max="5" width="13.1640625" customWidth="1"/>
    <col min="6" max="6" width="9.83203125" customWidth="1"/>
    <col min="7" max="7" width="46" customWidth="1"/>
    <col min="8" max="9" width="17" customWidth="1"/>
    <col min="10" max="10" width="16.5" customWidth="1"/>
    <col min="11" max="11" width="7.1640625" customWidth="1"/>
    <col min="12" max="12" width="42.1640625" customWidth="1"/>
    <col min="13" max="15" width="37.5" style="706" customWidth="1"/>
    <col min="16" max="16" width="43.33203125" style="706" customWidth="1"/>
    <col min="17" max="17" width="37.5" style="706" customWidth="1"/>
    <col min="18" max="18" width="20" customWidth="1"/>
    <col min="19" max="19" width="35.33203125" customWidth="1"/>
    <col min="27" max="27" width="3.83203125" customWidth="1"/>
    <col min="34" max="34" width="15" customWidth="1"/>
  </cols>
  <sheetData>
    <row r="1" spans="2:37" ht="38" customHeight="1" x14ac:dyDescent="0.25">
      <c r="B1" s="410" t="s">
        <v>2003</v>
      </c>
      <c r="D1" s="2177" t="s">
        <v>2008</v>
      </c>
      <c r="E1" s="1460"/>
      <c r="F1" s="1460"/>
      <c r="G1" s="1460"/>
      <c r="H1" s="1460"/>
      <c r="I1" s="1460"/>
    </row>
    <row r="2" spans="2:37" ht="38" customHeight="1" x14ac:dyDescent="0.25">
      <c r="B2" s="410" t="s">
        <v>2004</v>
      </c>
      <c r="D2" s="2177" t="s">
        <v>2159</v>
      </c>
      <c r="E2" s="1460"/>
      <c r="F2" s="1460"/>
      <c r="G2" s="1460"/>
      <c r="H2" s="1460"/>
      <c r="I2" s="1460"/>
    </row>
    <row r="3" spans="2:37" ht="38" customHeight="1" x14ac:dyDescent="0.2"/>
    <row r="4" spans="2:37" ht="21" x14ac:dyDescent="0.25">
      <c r="B4" s="49" t="s">
        <v>601</v>
      </c>
    </row>
    <row r="5" spans="2:37" ht="25" customHeight="1" x14ac:dyDescent="0.25">
      <c r="B5" s="49"/>
      <c r="K5" t="s">
        <v>753</v>
      </c>
      <c r="AC5" s="410" t="s">
        <v>1947</v>
      </c>
    </row>
    <row r="6" spans="2:37" ht="20" customHeight="1" x14ac:dyDescent="0.25">
      <c r="T6" s="34" t="s">
        <v>606</v>
      </c>
      <c r="U6" s="34"/>
      <c r="V6" s="34"/>
      <c r="W6" s="34"/>
      <c r="X6" s="34"/>
      <c r="Z6" s="1140"/>
      <c r="AC6" s="2129"/>
      <c r="AE6" s="2528" t="s">
        <v>1920</v>
      </c>
      <c r="AF6" s="2528"/>
      <c r="AG6" s="2528"/>
      <c r="AH6" s="2528"/>
      <c r="AI6" s="2528"/>
      <c r="AJ6" s="2528"/>
    </row>
    <row r="7" spans="2:37" ht="20" customHeight="1" x14ac:dyDescent="0.25">
      <c r="T7" s="34" t="s">
        <v>608</v>
      </c>
      <c r="U7" s="34"/>
      <c r="V7" s="34"/>
      <c r="W7" s="34"/>
      <c r="X7" s="34"/>
      <c r="AE7" s="2514" t="s">
        <v>1924</v>
      </c>
      <c r="AF7" s="2514"/>
      <c r="AG7" s="2514"/>
      <c r="AH7" s="2514"/>
      <c r="AI7" s="2514"/>
      <c r="AJ7" s="2514"/>
    </row>
    <row r="8" spans="2:37" ht="22" customHeight="1" x14ac:dyDescent="0.2">
      <c r="B8" s="2139" t="s">
        <v>1932</v>
      </c>
      <c r="T8" s="1688" t="s">
        <v>1949</v>
      </c>
      <c r="U8" s="1687"/>
      <c r="V8" s="1687"/>
      <c r="W8" s="1687"/>
      <c r="X8" s="1690"/>
      <c r="AE8" t="s">
        <v>1925</v>
      </c>
      <c r="AJ8" t="s">
        <v>1926</v>
      </c>
    </row>
    <row r="9" spans="2:37" ht="22" customHeight="1" x14ac:dyDescent="0.2">
      <c r="B9" s="2074" t="s">
        <v>1806</v>
      </c>
      <c r="T9" s="1687"/>
      <c r="U9" s="1687"/>
      <c r="V9" s="1687"/>
      <c r="W9" s="1687"/>
      <c r="X9" s="1690"/>
      <c r="AC9" s="88" t="s">
        <v>672</v>
      </c>
    </row>
    <row r="10" spans="2:37" ht="22" customHeight="1" x14ac:dyDescent="0.2">
      <c r="B10" s="2136" t="s">
        <v>1807</v>
      </c>
      <c r="T10" s="1687"/>
      <c r="U10" s="1687"/>
      <c r="V10" s="1687"/>
      <c r="W10" s="1687"/>
      <c r="X10" s="1690"/>
      <c r="AC10" s="88"/>
      <c r="AE10" s="591">
        <v>0</v>
      </c>
      <c r="AF10" s="591">
        <v>1</v>
      </c>
      <c r="AG10" s="591">
        <v>2</v>
      </c>
      <c r="AH10" s="591">
        <v>4</v>
      </c>
      <c r="AI10" s="591">
        <v>7</v>
      </c>
      <c r="AJ10" s="591">
        <v>10</v>
      </c>
    </row>
    <row r="11" spans="2:37" ht="19" customHeight="1" thickBot="1" x14ac:dyDescent="0.3">
      <c r="M11" s="34" t="s">
        <v>2021</v>
      </c>
      <c r="T11" s="2132">
        <v>0</v>
      </c>
      <c r="U11" s="2161" t="s">
        <v>1943</v>
      </c>
      <c r="V11" s="2132"/>
      <c r="W11" s="2132"/>
      <c r="X11" s="2132"/>
      <c r="AD11" s="5">
        <v>1</v>
      </c>
      <c r="AE11" s="5">
        <v>2</v>
      </c>
      <c r="AF11" s="5">
        <v>3</v>
      </c>
      <c r="AG11" s="5">
        <v>4</v>
      </c>
      <c r="AH11" s="5">
        <v>5</v>
      </c>
      <c r="AI11" s="5">
        <v>6</v>
      </c>
      <c r="AJ11" s="5">
        <v>7</v>
      </c>
    </row>
    <row r="12" spans="2:37" ht="51" customHeight="1" x14ac:dyDescent="0.2">
      <c r="C12" s="2641" t="s">
        <v>1803</v>
      </c>
      <c r="D12" s="2641"/>
      <c r="E12" s="2641"/>
      <c r="F12" s="2642" t="s">
        <v>1804</v>
      </c>
      <c r="G12" s="2642"/>
      <c r="H12" s="2642"/>
      <c r="I12" s="1912" t="s">
        <v>1802</v>
      </c>
      <c r="J12" s="2311" t="s">
        <v>1872</v>
      </c>
      <c r="K12" s="2312"/>
      <c r="L12" s="2312"/>
      <c r="M12" s="2312"/>
      <c r="N12" s="2312"/>
      <c r="O12" s="2312"/>
      <c r="P12" s="2350" t="s">
        <v>1744</v>
      </c>
      <c r="Q12" s="2351" t="s">
        <v>1849</v>
      </c>
      <c r="R12" s="2127"/>
      <c r="T12" s="2132">
        <v>1</v>
      </c>
      <c r="U12" s="2161" t="s">
        <v>1940</v>
      </c>
      <c r="V12" s="2132"/>
      <c r="W12" s="2132"/>
      <c r="X12" s="2132"/>
      <c r="AA12" s="2638" t="s">
        <v>1532</v>
      </c>
      <c r="AB12" s="2" t="s">
        <v>1925</v>
      </c>
      <c r="AD12" s="591">
        <v>0</v>
      </c>
      <c r="AE12" s="2128">
        <f t="shared" ref="AE12:AJ19" si="0">-(AE$10-$AD12)</f>
        <v>0</v>
      </c>
      <c r="AF12" s="2128">
        <f t="shared" si="0"/>
        <v>-1</v>
      </c>
      <c r="AG12" s="2128">
        <f t="shared" si="0"/>
        <v>-2</v>
      </c>
      <c r="AH12" s="2128">
        <f t="shared" si="0"/>
        <v>-4</v>
      </c>
      <c r="AI12" s="2128">
        <f t="shared" si="0"/>
        <v>-7</v>
      </c>
      <c r="AJ12" s="2128">
        <f t="shared" si="0"/>
        <v>-10</v>
      </c>
      <c r="AK12" s="2639" t="s">
        <v>490</v>
      </c>
    </row>
    <row r="13" spans="2:37" ht="34" customHeight="1" x14ac:dyDescent="0.3">
      <c r="B13" s="2643" t="s">
        <v>1933</v>
      </c>
      <c r="C13" s="2643"/>
      <c r="D13" s="2643"/>
      <c r="E13" s="2643"/>
      <c r="F13" s="2643"/>
      <c r="G13" s="2643"/>
      <c r="H13" s="2643"/>
      <c r="I13" s="2644"/>
      <c r="J13" s="67"/>
      <c r="K13" s="67"/>
      <c r="L13" s="2314"/>
      <c r="M13" s="2645" t="s">
        <v>2203</v>
      </c>
      <c r="N13" s="2645"/>
      <c r="O13" s="2645"/>
      <c r="P13" s="2352"/>
      <c r="Q13" s="2353"/>
      <c r="R13" s="67"/>
      <c r="T13" s="2132">
        <v>2</v>
      </c>
      <c r="U13" s="2161" t="s">
        <v>1941</v>
      </c>
      <c r="V13" s="2132"/>
      <c r="W13" s="2132"/>
      <c r="X13" s="2132"/>
      <c r="AA13" s="2638"/>
      <c r="AB13" s="2"/>
      <c r="AD13" s="592">
        <v>1</v>
      </c>
      <c r="AE13" s="2128">
        <f t="shared" si="0"/>
        <v>1</v>
      </c>
      <c r="AF13" s="2128">
        <f t="shared" si="0"/>
        <v>0</v>
      </c>
      <c r="AG13" s="2128">
        <f t="shared" si="0"/>
        <v>-1</v>
      </c>
      <c r="AH13" s="2128">
        <f t="shared" si="0"/>
        <v>-3</v>
      </c>
      <c r="AI13" s="2128">
        <f t="shared" si="0"/>
        <v>-6</v>
      </c>
      <c r="AJ13" s="2128">
        <f t="shared" si="0"/>
        <v>-9</v>
      </c>
      <c r="AK13" s="2639"/>
    </row>
    <row r="14" spans="2:37" ht="62" customHeight="1" x14ac:dyDescent="0.2">
      <c r="D14" s="272"/>
      <c r="E14" s="16" t="s">
        <v>1663</v>
      </c>
      <c r="F14" s="604"/>
      <c r="G14" s="604"/>
      <c r="H14" s="16" t="s">
        <v>1663</v>
      </c>
      <c r="I14" s="1914"/>
      <c r="J14" s="32" t="s">
        <v>1931</v>
      </c>
      <c r="K14" s="15" t="s">
        <v>672</v>
      </c>
      <c r="L14" s="32" t="s">
        <v>2154</v>
      </c>
      <c r="M14" s="2483" t="s">
        <v>2151</v>
      </c>
      <c r="N14" s="2483"/>
      <c r="O14" s="2483"/>
      <c r="P14" s="2354"/>
      <c r="Q14" s="1379"/>
      <c r="R14" s="458"/>
      <c r="T14" s="2132">
        <v>3</v>
      </c>
      <c r="U14" s="2161" t="s">
        <v>1941</v>
      </c>
      <c r="V14" s="2132"/>
      <c r="W14" s="2132"/>
      <c r="X14" s="2132"/>
      <c r="AA14" s="2638"/>
      <c r="AB14" s="2"/>
      <c r="AD14" s="592">
        <v>2</v>
      </c>
      <c r="AE14" s="2128">
        <f t="shared" si="0"/>
        <v>2</v>
      </c>
      <c r="AF14" s="2128">
        <f t="shared" si="0"/>
        <v>1</v>
      </c>
      <c r="AG14" s="2128">
        <f t="shared" si="0"/>
        <v>0</v>
      </c>
      <c r="AH14" s="2128">
        <f t="shared" si="0"/>
        <v>-2</v>
      </c>
      <c r="AI14" s="2128">
        <f t="shared" si="0"/>
        <v>-5</v>
      </c>
      <c r="AJ14" s="2128">
        <f t="shared" si="0"/>
        <v>-8</v>
      </c>
      <c r="AK14" s="2639"/>
    </row>
    <row r="15" spans="2:37" ht="54" customHeight="1" x14ac:dyDescent="0.2">
      <c r="D15" s="272"/>
      <c r="E15" s="16"/>
      <c r="F15" s="604"/>
      <c r="G15" s="604"/>
      <c r="H15" s="16"/>
      <c r="I15" s="1914"/>
      <c r="J15" s="32"/>
      <c r="K15" s="15"/>
      <c r="L15" s="32"/>
      <c r="M15" s="32" t="s">
        <v>2147</v>
      </c>
      <c r="N15" s="32" t="s">
        <v>2149</v>
      </c>
      <c r="O15" s="32" t="s">
        <v>2148</v>
      </c>
      <c r="P15" s="2354"/>
      <c r="Q15" s="1379"/>
      <c r="R15" s="458"/>
      <c r="T15" s="2132"/>
      <c r="U15" s="2161"/>
      <c r="V15" s="2132"/>
      <c r="W15" s="2132"/>
      <c r="X15" s="2132"/>
      <c r="AA15" s="2638"/>
      <c r="AB15" s="2"/>
      <c r="AD15" s="592"/>
      <c r="AE15" s="2128"/>
      <c r="AF15" s="2128"/>
      <c r="AG15" s="2128"/>
      <c r="AH15" s="2128"/>
      <c r="AI15" s="2128"/>
      <c r="AJ15" s="2128"/>
      <c r="AK15" s="2639"/>
    </row>
    <row r="16" spans="2:37" ht="62" customHeight="1" x14ac:dyDescent="0.2">
      <c r="D16" s="272"/>
      <c r="E16" s="16"/>
      <c r="F16" s="604"/>
      <c r="G16" s="604"/>
      <c r="H16" s="16"/>
      <c r="I16" s="1914"/>
      <c r="J16" s="32"/>
      <c r="K16" s="15"/>
      <c r="L16" s="2310" t="s">
        <v>2139</v>
      </c>
      <c r="M16" s="2313"/>
      <c r="N16" s="2313"/>
      <c r="O16" s="2313"/>
      <c r="P16" s="2355"/>
      <c r="Q16" s="2356"/>
      <c r="R16" s="458"/>
      <c r="T16" s="2132"/>
      <c r="U16" s="2161"/>
      <c r="V16" s="2132"/>
      <c r="W16" s="2132"/>
      <c r="X16" s="2132"/>
      <c r="AA16" s="2638"/>
      <c r="AB16" s="2"/>
      <c r="AD16" s="592"/>
      <c r="AE16" s="2128"/>
      <c r="AF16" s="2128"/>
      <c r="AG16" s="2128"/>
      <c r="AH16" s="2128"/>
      <c r="AI16" s="2128"/>
      <c r="AJ16" s="2128"/>
      <c r="AK16" s="2639"/>
    </row>
    <row r="17" spans="1:41" ht="70" customHeight="1" x14ac:dyDescent="0.2">
      <c r="A17" s="2582" t="s">
        <v>1869</v>
      </c>
      <c r="B17" s="13" t="s">
        <v>687</v>
      </c>
      <c r="C17" s="514" t="str">
        <f>BIBLE!E40</f>
        <v>H01</v>
      </c>
      <c r="D17" s="272" t="str">
        <f>BIBLE!F40</f>
        <v xml:space="preserve">Quel était le degré de complicité entre vous et votre enfant ? </v>
      </c>
      <c r="E17" s="67">
        <f>IF(Test_Bible!B98=" ","",Test_Bible!P98)</f>
        <v>10</v>
      </c>
      <c r="F17" s="1910" t="str">
        <f>BIBLE!E151</f>
        <v>E01</v>
      </c>
      <c r="G17" s="1531" t="str">
        <f>BIBLE!F151</f>
        <v>Comment qualifieriez-vous votre relation et votre degré de complicité avec votre enfant, aujourd’hui (temps présent) ?</v>
      </c>
      <c r="H17" s="67">
        <f>IF(Test_Bible!B263="","",Test_Bible!P263)</f>
        <v>9</v>
      </c>
      <c r="I17" s="1914"/>
      <c r="J17" s="2135" t="s">
        <v>1930</v>
      </c>
      <c r="L17" s="1632"/>
      <c r="P17" s="2357"/>
      <c r="Q17" s="2358"/>
      <c r="T17" s="2132">
        <v>4</v>
      </c>
      <c r="U17" s="2161" t="s">
        <v>1942</v>
      </c>
      <c r="V17" s="2132"/>
      <c r="W17" s="2132"/>
      <c r="X17" s="2137"/>
      <c r="AA17" s="2638"/>
      <c r="AB17" s="53"/>
      <c r="AD17" s="557">
        <v>4</v>
      </c>
      <c r="AE17" s="2128">
        <f t="shared" si="0"/>
        <v>4</v>
      </c>
      <c r="AF17" s="2128">
        <f t="shared" si="0"/>
        <v>3</v>
      </c>
      <c r="AG17" s="2128">
        <f t="shared" si="0"/>
        <v>2</v>
      </c>
      <c r="AH17" s="2128">
        <f t="shared" si="0"/>
        <v>0</v>
      </c>
      <c r="AI17" s="2128">
        <f t="shared" si="0"/>
        <v>-3</v>
      </c>
      <c r="AJ17" s="2128">
        <f t="shared" si="0"/>
        <v>-6</v>
      </c>
      <c r="AK17" s="2639"/>
    </row>
    <row r="18" spans="1:41" ht="106" customHeight="1" x14ac:dyDescent="0.2">
      <c r="A18" s="2583"/>
      <c r="C18" s="514" t="str">
        <f>BIBLE!E41</f>
        <v>H02</v>
      </c>
      <c r="D18" s="272" t="str">
        <f>BIBLE!F41</f>
        <v>Dans quelle mesure diriez-vous que votre enfant vous confiait ses joies, ses peines ou questionnements divers ?</v>
      </c>
      <c r="E18" s="67">
        <f>IF(Test_Bible!B99=" ","",Test_Bible!P99)</f>
        <v>10</v>
      </c>
      <c r="F18" s="1923"/>
      <c r="H18" s="67"/>
      <c r="I18" s="1913"/>
      <c r="P18" s="2357"/>
      <c r="Q18" s="2358"/>
      <c r="T18" s="2132">
        <v>5</v>
      </c>
      <c r="U18" s="2161" t="s">
        <v>1942</v>
      </c>
      <c r="V18" s="2132"/>
      <c r="W18" s="2132"/>
      <c r="X18" s="2137"/>
      <c r="AA18" s="2638"/>
      <c r="AB18" s="53"/>
      <c r="AD18" s="557">
        <v>7</v>
      </c>
      <c r="AE18" s="2128">
        <f t="shared" si="0"/>
        <v>7</v>
      </c>
      <c r="AF18" s="2128">
        <f t="shared" si="0"/>
        <v>6</v>
      </c>
      <c r="AG18" s="2128">
        <f t="shared" si="0"/>
        <v>5</v>
      </c>
      <c r="AH18" s="2128">
        <f t="shared" si="0"/>
        <v>3</v>
      </c>
      <c r="AI18" s="2128">
        <f t="shared" si="0"/>
        <v>0</v>
      </c>
      <c r="AJ18" s="2128">
        <f t="shared" si="0"/>
        <v>-3</v>
      </c>
      <c r="AK18" s="2639"/>
    </row>
    <row r="19" spans="1:41" ht="56" customHeight="1" x14ac:dyDescent="0.2">
      <c r="A19" s="58"/>
      <c r="D19" s="2" t="s">
        <v>1805</v>
      </c>
      <c r="E19" s="1831">
        <f>MAX(E17:E18)</f>
        <v>10</v>
      </c>
      <c r="G19" s="2" t="s">
        <v>1805</v>
      </c>
      <c r="H19" s="1236">
        <f>MAX(H17:H18)</f>
        <v>9</v>
      </c>
      <c r="I19" s="1915">
        <f>IF(E19=0,"Ne peut statuer",VLOOKUP(E19,Echelle_Lineaire_Diff,H19+1))</f>
        <v>-1</v>
      </c>
      <c r="J19" s="1829">
        <f>E19</f>
        <v>10</v>
      </c>
      <c r="K19" s="1829">
        <f>I19</f>
        <v>-1</v>
      </c>
      <c r="L19" s="442" t="str">
        <f>IF(J19=0,$U$39,IF(K19&gt;0,VLOOKUP(K19,$T$11:$U$24,2),VLOOKUP(ABS(K19),$T$26:$U$37,2)))</f>
        <v>Aucun ou peu de changement observé</v>
      </c>
      <c r="M19" s="2138"/>
      <c r="N19" s="2138"/>
      <c r="O19" s="2138"/>
      <c r="P19" s="2359"/>
      <c r="Q19" s="2360"/>
      <c r="T19" s="2132">
        <v>6</v>
      </c>
      <c r="U19" s="2161" t="s">
        <v>1944</v>
      </c>
      <c r="V19" s="2132"/>
      <c r="W19" s="2132"/>
      <c r="X19" s="2137"/>
      <c r="AA19" s="2638"/>
      <c r="AB19" t="s">
        <v>1926</v>
      </c>
      <c r="AD19" s="557">
        <v>10</v>
      </c>
      <c r="AE19" s="2128">
        <f t="shared" si="0"/>
        <v>10</v>
      </c>
      <c r="AF19" s="2128">
        <f t="shared" si="0"/>
        <v>9</v>
      </c>
      <c r="AG19" s="2128">
        <f t="shared" si="0"/>
        <v>8</v>
      </c>
      <c r="AH19" s="2128">
        <f t="shared" si="0"/>
        <v>6</v>
      </c>
      <c r="AI19" s="2128">
        <f t="shared" si="0"/>
        <v>3</v>
      </c>
      <c r="AJ19" s="2128">
        <f t="shared" si="0"/>
        <v>0</v>
      </c>
    </row>
    <row r="20" spans="1:41" ht="60" customHeight="1" x14ac:dyDescent="0.2">
      <c r="A20" s="58"/>
      <c r="I20" s="1913"/>
      <c r="M20" s="2483" t="s">
        <v>2152</v>
      </c>
      <c r="N20" s="2483"/>
      <c r="O20" s="2483"/>
      <c r="P20" s="2354"/>
      <c r="Q20" s="1379"/>
      <c r="T20" s="2132">
        <v>7</v>
      </c>
      <c r="U20" s="2161" t="s">
        <v>1944</v>
      </c>
      <c r="V20" s="2132"/>
      <c r="W20" s="2132"/>
      <c r="X20" s="2137"/>
      <c r="AD20" s="8"/>
      <c r="AE20" s="2640" t="s">
        <v>1923</v>
      </c>
      <c r="AF20" s="2640"/>
      <c r="AG20" s="2640"/>
      <c r="AH20" s="2640"/>
      <c r="AI20" s="2640"/>
      <c r="AK20" s="2132" t="s">
        <v>1927</v>
      </c>
    </row>
    <row r="21" spans="1:41" ht="49" customHeight="1" x14ac:dyDescent="0.3">
      <c r="A21" s="2131" t="s">
        <v>1919</v>
      </c>
      <c r="B21" s="2643" t="s">
        <v>1934</v>
      </c>
      <c r="C21" s="2643"/>
      <c r="D21" s="2643"/>
      <c r="E21" s="2643"/>
      <c r="F21" s="2643"/>
      <c r="G21" s="2643"/>
      <c r="H21" s="2643"/>
      <c r="I21" s="2644"/>
      <c r="M21" s="32" t="s">
        <v>2147</v>
      </c>
      <c r="N21" s="32" t="s">
        <v>2149</v>
      </c>
      <c r="O21" s="32" t="s">
        <v>2148</v>
      </c>
      <c r="P21" s="2354"/>
      <c r="Q21" s="1379"/>
      <c r="T21" s="2132">
        <v>8</v>
      </c>
      <c r="U21" s="2161" t="s">
        <v>1944</v>
      </c>
      <c r="V21" s="2132"/>
      <c r="W21" s="2132"/>
      <c r="X21" s="2137"/>
    </row>
    <row r="22" spans="1:41" ht="49" customHeight="1" x14ac:dyDescent="0.3">
      <c r="A22" s="2131"/>
      <c r="B22" s="2291"/>
      <c r="C22" s="2291"/>
      <c r="D22" s="2291"/>
      <c r="E22" s="2291"/>
      <c r="F22" s="2291"/>
      <c r="G22" s="2291"/>
      <c r="H22" s="2291"/>
      <c r="I22" s="2292"/>
      <c r="L22" s="2310" t="s">
        <v>2139</v>
      </c>
      <c r="M22" s="2313"/>
      <c r="N22" s="2313"/>
      <c r="O22" s="2313"/>
      <c r="P22" s="2355"/>
      <c r="Q22" s="2356"/>
      <c r="T22" s="2132"/>
      <c r="U22" s="2161"/>
      <c r="V22" s="2132"/>
      <c r="W22" s="2132"/>
      <c r="X22" s="2137"/>
    </row>
    <row r="23" spans="1:41" ht="126" customHeight="1" x14ac:dyDescent="0.25">
      <c r="A23" s="2648" t="s">
        <v>1917</v>
      </c>
      <c r="B23" s="16" t="s">
        <v>686</v>
      </c>
      <c r="C23" s="700" t="str">
        <f>BIBLE!E205</f>
        <v>E35b</v>
      </c>
      <c r="D23" s="25" t="str">
        <f>BIBLE!F205</f>
        <v>Comment était la relation de votre enfant avec la famille élargie avant la séparation ?</v>
      </c>
      <c r="E23" s="67">
        <f>IF(Test_Bible!B337="","",Test_Bible!P337)</f>
        <v>0</v>
      </c>
      <c r="F23" s="1911" t="str">
        <f>BIBLE!E204</f>
        <v>E35a</v>
      </c>
      <c r="G23" s="25" t="str">
        <f>BIBLE!F204</f>
        <v>Dans quelle mesure diriez-vous que votre enfant accepte les contacts avec votre famille élargie  (cousin.es, grands-parents, etc.) ?</v>
      </c>
      <c r="H23" s="67">
        <f>IF(Test_Bible!B336="","",Test_Bible!P336)</f>
        <v>0</v>
      </c>
      <c r="I23" s="1913"/>
      <c r="J23" s="8"/>
      <c r="K23" s="17"/>
      <c r="L23" s="17"/>
      <c r="P23" s="2357"/>
      <c r="Q23" s="2358"/>
      <c r="R23" s="17"/>
      <c r="T23" s="2132">
        <v>9</v>
      </c>
      <c r="U23" s="2161" t="s">
        <v>1944</v>
      </c>
      <c r="V23" s="2132"/>
      <c r="W23" s="2132"/>
      <c r="X23" s="2137"/>
      <c r="AC23" s="410" t="s">
        <v>1948</v>
      </c>
      <c r="AD23" s="410"/>
    </row>
    <row r="24" spans="1:41" ht="21" x14ac:dyDescent="0.25">
      <c r="A24" s="2649"/>
      <c r="C24" s="514"/>
      <c r="D24" s="272"/>
      <c r="E24" s="67"/>
      <c r="F24" s="1923"/>
      <c r="H24" s="67"/>
      <c r="I24" s="1913"/>
      <c r="J24" s="8"/>
      <c r="P24" s="2357"/>
      <c r="Q24" s="2358"/>
      <c r="T24" s="2132">
        <v>10</v>
      </c>
      <c r="U24" s="2161" t="s">
        <v>1944</v>
      </c>
      <c r="V24" s="2132"/>
      <c r="W24" s="2132"/>
      <c r="X24" s="2137"/>
      <c r="Z24" s="90"/>
      <c r="AC24" s="2129"/>
      <c r="AE24" s="2528" t="s">
        <v>1920</v>
      </c>
      <c r="AF24" s="2528"/>
      <c r="AG24" s="2528"/>
      <c r="AH24" s="2528"/>
      <c r="AI24" s="2528"/>
      <c r="AJ24" s="2528"/>
      <c r="AK24" s="2528"/>
      <c r="AL24" s="2528"/>
      <c r="AM24" s="2528"/>
      <c r="AN24" s="2528"/>
    </row>
    <row r="25" spans="1:41" ht="62" customHeight="1" x14ac:dyDescent="0.2">
      <c r="A25" s="58"/>
      <c r="D25" s="2" t="s">
        <v>1805</v>
      </c>
      <c r="E25" s="1831">
        <f>MAX(E23:E24)</f>
        <v>0</v>
      </c>
      <c r="G25" s="2" t="s">
        <v>1805</v>
      </c>
      <c r="H25" s="1236">
        <f>MAX(H23:H24)</f>
        <v>0</v>
      </c>
      <c r="I25" s="1915" t="str">
        <f>IF(E25=0,"Ne peut statuer",VLOOKUP(E25,Échelle_Exp_Diff,HLOOKUP(H25,$AD$10:$AJ$11,2)))</f>
        <v>Ne peut statuer</v>
      </c>
      <c r="J25" s="1829">
        <f>E25</f>
        <v>0</v>
      </c>
      <c r="K25" s="1829" t="str">
        <f>I25</f>
        <v>Ne peut statuer</v>
      </c>
      <c r="L25" s="2309" t="str">
        <f>IF(J25=0,$U$39,IF(K25&gt;0,VLOOKUP(K25,$T$11:$U$24,2),VLOOKUP(ABS(K25),$T$26:$U$37,2)))</f>
        <v>Il n'est pas possible de statuer puisque l'historique est absent</v>
      </c>
      <c r="M25" s="2138"/>
      <c r="N25" s="2138"/>
      <c r="O25" s="2138"/>
      <c r="P25" s="2359"/>
      <c r="Q25" s="2360"/>
      <c r="T25" s="1689" t="s">
        <v>1950</v>
      </c>
      <c r="U25" s="1233"/>
      <c r="V25" s="1233"/>
      <c r="W25" s="1233"/>
      <c r="X25" s="1233"/>
      <c r="Z25" s="90"/>
      <c r="AE25" s="8" t="s">
        <v>1921</v>
      </c>
      <c r="AF25" s="8"/>
      <c r="AG25" s="8"/>
      <c r="AH25" s="8"/>
      <c r="AI25" s="8"/>
      <c r="AJ25" s="8"/>
      <c r="AK25" s="5"/>
      <c r="AL25" s="5"/>
      <c r="AM25" s="5"/>
      <c r="AN25" s="5" t="s">
        <v>1922</v>
      </c>
    </row>
    <row r="26" spans="1:41" ht="32" customHeight="1" x14ac:dyDescent="0.2">
      <c r="A26" s="58"/>
      <c r="I26" s="1913"/>
      <c r="J26" s="8"/>
      <c r="M26" s="2483" t="s">
        <v>2153</v>
      </c>
      <c r="N26" s="2483"/>
      <c r="O26" s="2483"/>
      <c r="P26" s="2354"/>
      <c r="Q26" s="1379"/>
      <c r="T26" s="1233">
        <v>0</v>
      </c>
      <c r="U26" s="1460" t="s">
        <v>1529</v>
      </c>
      <c r="V26" s="1233"/>
      <c r="W26" s="1233"/>
      <c r="X26" s="1233"/>
    </row>
    <row r="27" spans="1:41" ht="56" customHeight="1" x14ac:dyDescent="0.3">
      <c r="A27" s="58"/>
      <c r="B27" s="2643" t="s">
        <v>1935</v>
      </c>
      <c r="C27" s="2643"/>
      <c r="D27" s="2643"/>
      <c r="E27" s="2643"/>
      <c r="F27" s="2643"/>
      <c r="G27" s="2643"/>
      <c r="H27" s="2643"/>
      <c r="I27" s="2644"/>
      <c r="J27" s="8"/>
      <c r="M27" s="32" t="s">
        <v>2147</v>
      </c>
      <c r="N27" s="32" t="s">
        <v>2149</v>
      </c>
      <c r="O27" s="32" t="s">
        <v>2148</v>
      </c>
      <c r="P27" s="2354"/>
      <c r="Q27" s="1379"/>
      <c r="T27" s="1233">
        <v>1</v>
      </c>
      <c r="U27" s="1460" t="s">
        <v>1940</v>
      </c>
      <c r="V27" s="1233"/>
      <c r="W27" s="1233"/>
      <c r="X27" s="1233"/>
      <c r="AC27" s="88" t="s">
        <v>672</v>
      </c>
    </row>
    <row r="28" spans="1:41" ht="56" customHeight="1" x14ac:dyDescent="0.3">
      <c r="A28" s="58"/>
      <c r="B28" s="2291"/>
      <c r="C28" s="2291"/>
      <c r="D28" s="2291"/>
      <c r="E28" s="2291"/>
      <c r="F28" s="2291"/>
      <c r="G28" s="2291"/>
      <c r="H28" s="2291"/>
      <c r="I28" s="2292"/>
      <c r="J28" s="8"/>
      <c r="L28" s="2310" t="s">
        <v>2139</v>
      </c>
      <c r="M28" s="2313"/>
      <c r="N28" s="2313"/>
      <c r="O28" s="2313"/>
      <c r="P28" s="2355"/>
      <c r="Q28" s="2356"/>
      <c r="T28" s="1233"/>
      <c r="U28" s="1460"/>
      <c r="V28" s="1233"/>
      <c r="W28" s="1233"/>
      <c r="X28" s="1233"/>
      <c r="AC28" s="88"/>
    </row>
    <row r="29" spans="1:41" ht="50" customHeight="1" x14ac:dyDescent="0.2">
      <c r="A29" s="2582" t="s">
        <v>1869</v>
      </c>
      <c r="B29" s="13" t="s">
        <v>688</v>
      </c>
      <c r="C29" s="514" t="str">
        <f>BIBLE!E44</f>
        <v>H04a1</v>
      </c>
      <c r="D29" s="272" t="str">
        <f>BIBLE!F44</f>
        <v>Dans quelle mesure diriez-vous que votre enfant idéalisait l’autre parent ?</v>
      </c>
      <c r="E29" s="67" t="str">
        <f>IF(Test_Bible!B102=" ","",Test_Bible!P102)</f>
        <v/>
      </c>
      <c r="F29" s="1910" t="str">
        <f>BIBLE!E152</f>
        <v>E02</v>
      </c>
      <c r="G29" s="1531" t="str">
        <f>BIBLE!F152</f>
        <v>Dans quelle mesure diriez-vous que votre enfant idéalise (aujourd'hui) l’autre parent ?</v>
      </c>
      <c r="H29" s="67">
        <f>IF(Test_Bible!B264="","",Test_Bible!P264)</f>
        <v>5</v>
      </c>
      <c r="I29" s="1914"/>
      <c r="J29" s="8"/>
      <c r="M29" s="13"/>
      <c r="N29" s="13"/>
      <c r="O29" s="13"/>
      <c r="P29" s="2361"/>
      <c r="Q29" s="2362"/>
      <c r="T29" s="1233">
        <v>2</v>
      </c>
      <c r="U29" s="1460" t="s">
        <v>1939</v>
      </c>
      <c r="V29" s="1233"/>
      <c r="W29" s="1233"/>
      <c r="X29" s="1233"/>
      <c r="AE29" s="591">
        <v>1</v>
      </c>
      <c r="AF29" s="591">
        <v>2</v>
      </c>
      <c r="AG29" s="591">
        <v>3</v>
      </c>
      <c r="AH29" s="591">
        <v>4</v>
      </c>
      <c r="AI29" s="591">
        <v>5</v>
      </c>
      <c r="AJ29" s="591">
        <v>6</v>
      </c>
      <c r="AK29" s="591">
        <v>7</v>
      </c>
      <c r="AL29" s="591">
        <v>8</v>
      </c>
      <c r="AM29" s="591">
        <v>9</v>
      </c>
      <c r="AN29" s="591">
        <v>10</v>
      </c>
    </row>
    <row r="30" spans="1:41" ht="19" customHeight="1" x14ac:dyDescent="0.2">
      <c r="A30" s="2583"/>
      <c r="C30" s="514"/>
      <c r="F30" s="1923"/>
      <c r="H30" s="67"/>
      <c r="I30" s="1913"/>
      <c r="J30" s="8"/>
      <c r="M30" s="13"/>
      <c r="N30" s="13"/>
      <c r="O30" s="13"/>
      <c r="P30" s="2361"/>
      <c r="Q30" s="2362"/>
      <c r="T30" s="1233">
        <v>3</v>
      </c>
      <c r="U30" s="1460" t="s">
        <v>1939</v>
      </c>
      <c r="V30" s="1233"/>
      <c r="W30" s="1233"/>
      <c r="X30" s="1233"/>
      <c r="AA30" s="2647" t="s">
        <v>1532</v>
      </c>
      <c r="AB30" s="2" t="s">
        <v>1921</v>
      </c>
      <c r="AD30" s="557">
        <v>1</v>
      </c>
      <c r="AE30" s="2128">
        <f t="shared" ref="AE30:AN30" si="1">AE$29-$AD30</f>
        <v>0</v>
      </c>
      <c r="AF30" s="2128">
        <f t="shared" si="1"/>
        <v>1</v>
      </c>
      <c r="AG30" s="2128">
        <f t="shared" si="1"/>
        <v>2</v>
      </c>
      <c r="AH30" s="2128">
        <f t="shared" si="1"/>
        <v>3</v>
      </c>
      <c r="AI30" s="2128">
        <f t="shared" si="1"/>
        <v>4</v>
      </c>
      <c r="AJ30" s="2128">
        <f t="shared" si="1"/>
        <v>5</v>
      </c>
      <c r="AK30" s="2128">
        <f t="shared" si="1"/>
        <v>6</v>
      </c>
      <c r="AL30" s="2128">
        <f t="shared" si="1"/>
        <v>7</v>
      </c>
      <c r="AM30" s="2128">
        <f t="shared" si="1"/>
        <v>8</v>
      </c>
      <c r="AN30" s="2128">
        <f t="shared" si="1"/>
        <v>9</v>
      </c>
      <c r="AO30" s="2637" t="s">
        <v>1923</v>
      </c>
    </row>
    <row r="31" spans="1:41" ht="36" customHeight="1" x14ac:dyDescent="0.2">
      <c r="A31" s="58"/>
      <c r="D31" s="2" t="s">
        <v>1805</v>
      </c>
      <c r="E31" s="1831">
        <f>MAX(E29:E30)</f>
        <v>0</v>
      </c>
      <c r="G31" s="2" t="s">
        <v>1805</v>
      </c>
      <c r="H31" s="1238">
        <f>MAX(H29:H30)</f>
        <v>5</v>
      </c>
      <c r="I31" s="1915" t="str">
        <f>IF(E31=0,"Ne peut statuer",VLOOKUP(E31,Echelle_Lineaire_Diff,H31+1))</f>
        <v>Ne peut statuer</v>
      </c>
      <c r="J31" s="8"/>
      <c r="M31" s="13"/>
      <c r="N31" s="13"/>
      <c r="O31" s="13"/>
      <c r="P31" s="2361"/>
      <c r="Q31" s="2362"/>
      <c r="T31" s="1233">
        <v>4</v>
      </c>
      <c r="U31" s="1460" t="s">
        <v>1945</v>
      </c>
      <c r="V31" s="1233"/>
      <c r="W31" s="1233"/>
      <c r="X31" s="1233"/>
      <c r="AA31" s="2647"/>
      <c r="AB31" s="2"/>
      <c r="AD31" s="557">
        <v>2</v>
      </c>
      <c r="AE31" s="2128">
        <f t="shared" ref="AE31:AE39" si="2">AE$29-$AD31</f>
        <v>-1</v>
      </c>
      <c r="AF31" s="2128">
        <f t="shared" ref="AF31:AF39" si="3">AF$29-$AD31</f>
        <v>0</v>
      </c>
      <c r="AG31" s="2128">
        <f t="shared" ref="AG31:AN39" si="4">AG$29-$AD31</f>
        <v>1</v>
      </c>
      <c r="AH31" s="2128">
        <f t="shared" si="4"/>
        <v>2</v>
      </c>
      <c r="AI31" s="2128">
        <f t="shared" si="4"/>
        <v>3</v>
      </c>
      <c r="AJ31" s="2128">
        <f t="shared" si="4"/>
        <v>4</v>
      </c>
      <c r="AK31" s="2128">
        <f t="shared" si="4"/>
        <v>5</v>
      </c>
      <c r="AL31" s="2128">
        <f t="shared" si="4"/>
        <v>6</v>
      </c>
      <c r="AM31" s="2128">
        <f t="shared" si="4"/>
        <v>7</v>
      </c>
      <c r="AN31" s="2128">
        <f t="shared" si="4"/>
        <v>8</v>
      </c>
      <c r="AO31" s="2637"/>
    </row>
    <row r="32" spans="1:41" x14ac:dyDescent="0.2">
      <c r="A32" s="58"/>
      <c r="I32" s="1913"/>
      <c r="J32" s="8"/>
      <c r="M32" s="13"/>
      <c r="N32" s="13"/>
      <c r="O32" s="13"/>
      <c r="P32" s="2361"/>
      <c r="Q32" s="2362"/>
      <c r="T32" s="1233">
        <v>5</v>
      </c>
      <c r="U32" s="1460" t="s">
        <v>1945</v>
      </c>
      <c r="V32" s="1233"/>
      <c r="W32" s="1233"/>
      <c r="X32" s="1233"/>
      <c r="AA32" s="2647"/>
      <c r="AB32" s="2"/>
      <c r="AD32" s="557">
        <v>3</v>
      </c>
      <c r="AE32" s="2128">
        <f t="shared" si="2"/>
        <v>-2</v>
      </c>
      <c r="AF32" s="2128">
        <f t="shared" si="3"/>
        <v>-1</v>
      </c>
      <c r="AG32" s="2128">
        <f t="shared" si="4"/>
        <v>0</v>
      </c>
      <c r="AH32" s="2128">
        <f t="shared" si="4"/>
        <v>1</v>
      </c>
      <c r="AI32" s="2128">
        <f t="shared" si="4"/>
        <v>2</v>
      </c>
      <c r="AJ32" s="2128">
        <f t="shared" si="4"/>
        <v>3</v>
      </c>
      <c r="AK32" s="2128">
        <f t="shared" si="4"/>
        <v>4</v>
      </c>
      <c r="AL32" s="2128">
        <f t="shared" si="4"/>
        <v>5</v>
      </c>
      <c r="AM32" s="2128">
        <f t="shared" si="4"/>
        <v>6</v>
      </c>
      <c r="AN32" s="2128">
        <f t="shared" si="4"/>
        <v>7</v>
      </c>
      <c r="AO32" s="2637"/>
    </row>
    <row r="33" spans="1:41" ht="51" x14ac:dyDescent="0.2">
      <c r="A33" s="2582" t="s">
        <v>1869</v>
      </c>
      <c r="B33" s="13" t="s">
        <v>689</v>
      </c>
      <c r="C33" s="514" t="str">
        <f>BIBLE!E43</f>
        <v>H04a</v>
      </c>
      <c r="D33" s="272" t="str">
        <f>BIBLE!G43</f>
        <v>Durant la vie commune, dans quelle mesure diriez-vous que la relation entre votre enfant et l'autre parent était fusionnelle?</v>
      </c>
      <c r="E33" s="67">
        <f>IF(Test_Bible!B101=" ","",Test_Bible!P101)</f>
        <v>1</v>
      </c>
      <c r="F33" s="1910" t="str">
        <f>Test_Bible!A166</f>
        <v>PFA02</v>
      </c>
      <c r="G33" s="1531" t="str">
        <f>Test_Bible!B166</f>
        <v>Selon vous, dans quelle mesure l'autre parent entretien une relation fusionnelle avec votre enfant ?</v>
      </c>
      <c r="H33" s="67">
        <f>IF(Test_Bible!B166="","",Test_Bible!P166)</f>
        <v>7</v>
      </c>
      <c r="I33" s="1914"/>
      <c r="J33" s="8"/>
      <c r="M33" s="13"/>
      <c r="N33" s="13"/>
      <c r="O33" s="13"/>
      <c r="P33" s="2361"/>
      <c r="Q33" s="2362"/>
      <c r="T33" s="1233">
        <v>6</v>
      </c>
      <c r="U33" s="1460" t="s">
        <v>1938</v>
      </c>
      <c r="V33" s="1233"/>
      <c r="W33" s="1233"/>
      <c r="X33" s="1233"/>
      <c r="AA33" s="2647"/>
      <c r="AB33" s="2"/>
      <c r="AD33" s="557">
        <v>4</v>
      </c>
      <c r="AE33" s="2128">
        <f t="shared" si="2"/>
        <v>-3</v>
      </c>
      <c r="AF33" s="2128">
        <f t="shared" si="3"/>
        <v>-2</v>
      </c>
      <c r="AG33" s="2128">
        <f t="shared" si="4"/>
        <v>-1</v>
      </c>
      <c r="AH33" s="2128">
        <f t="shared" si="4"/>
        <v>0</v>
      </c>
      <c r="AI33" s="2128">
        <f t="shared" si="4"/>
        <v>1</v>
      </c>
      <c r="AJ33" s="2128">
        <f t="shared" si="4"/>
        <v>2</v>
      </c>
      <c r="AK33" s="2128">
        <f t="shared" si="4"/>
        <v>3</v>
      </c>
      <c r="AL33" s="2128">
        <f t="shared" si="4"/>
        <v>4</v>
      </c>
      <c r="AM33" s="2128">
        <f t="shared" si="4"/>
        <v>5</v>
      </c>
      <c r="AN33" s="2128">
        <f t="shared" si="4"/>
        <v>6</v>
      </c>
      <c r="AO33" s="2637"/>
    </row>
    <row r="34" spans="1:41" ht="59" customHeight="1" x14ac:dyDescent="0.2">
      <c r="A34" s="2583"/>
      <c r="C34" s="514"/>
      <c r="F34" s="581" t="str">
        <f>BIBLE!E153</f>
        <v>E02a</v>
      </c>
      <c r="G34" s="272" t="str">
        <f>BIBLE!F153</f>
        <v>Dans quelle mesure diriez-vous que la relation entre votre enfant et l'autre parent est fusionnelle ?</v>
      </c>
      <c r="H34" s="67" t="str">
        <f>IF(Test_Bible!B265="","",Test_Bible!P265)</f>
        <v/>
      </c>
      <c r="I34" s="1913"/>
      <c r="J34" s="8"/>
      <c r="M34" s="13"/>
      <c r="N34" s="13"/>
      <c r="O34" s="13"/>
      <c r="P34" s="2361"/>
      <c r="Q34" s="2362"/>
      <c r="T34" s="1233">
        <v>7</v>
      </c>
      <c r="U34" s="1460" t="s">
        <v>1938</v>
      </c>
      <c r="V34" s="1233"/>
      <c r="W34" s="1233"/>
      <c r="X34" s="1389"/>
      <c r="AA34" s="2647"/>
      <c r="AB34" s="2"/>
      <c r="AD34" s="557">
        <v>5</v>
      </c>
      <c r="AE34" s="2128">
        <f t="shared" si="2"/>
        <v>-4</v>
      </c>
      <c r="AF34" s="2128">
        <f t="shared" si="3"/>
        <v>-3</v>
      </c>
      <c r="AG34" s="2128">
        <f t="shared" si="4"/>
        <v>-2</v>
      </c>
      <c r="AH34" s="2128">
        <f t="shared" si="4"/>
        <v>-1</v>
      </c>
      <c r="AI34" s="2128">
        <f t="shared" si="4"/>
        <v>0</v>
      </c>
      <c r="AJ34" s="2128">
        <f t="shared" si="4"/>
        <v>1</v>
      </c>
      <c r="AK34" s="2128">
        <f t="shared" si="4"/>
        <v>2</v>
      </c>
      <c r="AL34" s="2128">
        <f t="shared" si="4"/>
        <v>3</v>
      </c>
      <c r="AM34" s="2128">
        <f t="shared" si="4"/>
        <v>4</v>
      </c>
      <c r="AN34" s="2128">
        <f t="shared" si="4"/>
        <v>5</v>
      </c>
      <c r="AO34" s="2637"/>
    </row>
    <row r="35" spans="1:41" x14ac:dyDescent="0.2">
      <c r="A35" s="58"/>
      <c r="D35" s="2" t="s">
        <v>1805</v>
      </c>
      <c r="E35" s="1831">
        <f>MAX(E33:E34)</f>
        <v>1</v>
      </c>
      <c r="G35" s="2" t="s">
        <v>1805</v>
      </c>
      <c r="H35" s="1238">
        <f>MAX(H33:H34)</f>
        <v>7</v>
      </c>
      <c r="I35" s="1915">
        <f>IF(E35=0,"Ne peut statuer",VLOOKUP(E35,Echelle_Lineaire_Diff,H35+1))</f>
        <v>6</v>
      </c>
      <c r="J35" s="8"/>
      <c r="M35" s="13"/>
      <c r="N35" s="13"/>
      <c r="O35" s="13"/>
      <c r="P35" s="2361"/>
      <c r="Q35" s="2362"/>
      <c r="T35" s="1233">
        <v>8</v>
      </c>
      <c r="U35" s="1460" t="s">
        <v>1938</v>
      </c>
      <c r="V35" s="1233"/>
      <c r="W35" s="1233"/>
      <c r="X35" s="1389"/>
      <c r="AA35" s="2647"/>
      <c r="AB35" s="2"/>
      <c r="AD35" s="557">
        <v>6</v>
      </c>
      <c r="AE35" s="2128">
        <f t="shared" si="2"/>
        <v>-5</v>
      </c>
      <c r="AF35" s="2128">
        <f t="shared" si="3"/>
        <v>-4</v>
      </c>
      <c r="AG35" s="2128">
        <f t="shared" si="4"/>
        <v>-3</v>
      </c>
      <c r="AH35" s="2128">
        <f t="shared" si="4"/>
        <v>-2</v>
      </c>
      <c r="AI35" s="2128">
        <f t="shared" si="4"/>
        <v>-1</v>
      </c>
      <c r="AJ35" s="2128">
        <f t="shared" si="4"/>
        <v>0</v>
      </c>
      <c r="AK35" s="2128">
        <f t="shared" si="4"/>
        <v>1</v>
      </c>
      <c r="AL35" s="2128">
        <f t="shared" si="4"/>
        <v>2</v>
      </c>
      <c r="AM35" s="2128">
        <f t="shared" si="4"/>
        <v>3</v>
      </c>
      <c r="AN35" s="2128">
        <f t="shared" si="4"/>
        <v>4</v>
      </c>
      <c r="AO35" s="2637"/>
    </row>
    <row r="36" spans="1:41" x14ac:dyDescent="0.2">
      <c r="A36" s="58"/>
      <c r="I36" s="1913"/>
      <c r="J36" s="8"/>
      <c r="M36" s="13"/>
      <c r="N36" s="13"/>
      <c r="O36" s="13"/>
      <c r="P36" s="2361"/>
      <c r="Q36" s="2362"/>
      <c r="T36" s="1233">
        <v>9</v>
      </c>
      <c r="U36" s="1460" t="s">
        <v>1938</v>
      </c>
      <c r="V36" s="1233"/>
      <c r="W36" s="1233"/>
      <c r="X36" s="1389"/>
      <c r="AA36" s="2647"/>
      <c r="AB36" s="53"/>
      <c r="AD36" s="557">
        <v>7</v>
      </c>
      <c r="AE36" s="2128">
        <f t="shared" si="2"/>
        <v>-6</v>
      </c>
      <c r="AF36" s="2128">
        <f t="shared" si="3"/>
        <v>-5</v>
      </c>
      <c r="AG36" s="2128">
        <f t="shared" si="4"/>
        <v>-4</v>
      </c>
      <c r="AH36" s="2128">
        <f t="shared" si="4"/>
        <v>-3</v>
      </c>
      <c r="AI36" s="2128">
        <f t="shared" si="4"/>
        <v>-2</v>
      </c>
      <c r="AJ36" s="2128">
        <f t="shared" si="4"/>
        <v>-1</v>
      </c>
      <c r="AK36" s="2128">
        <f t="shared" si="4"/>
        <v>0</v>
      </c>
      <c r="AL36" s="2128">
        <f t="shared" si="4"/>
        <v>1</v>
      </c>
      <c r="AM36" s="2128">
        <f t="shared" si="4"/>
        <v>2</v>
      </c>
      <c r="AN36" s="2128">
        <f t="shared" si="4"/>
        <v>3</v>
      </c>
      <c r="AO36" s="2637"/>
    </row>
    <row r="37" spans="1:41" ht="52" customHeight="1" x14ac:dyDescent="0.2">
      <c r="A37" s="2582" t="s">
        <v>1869</v>
      </c>
      <c r="B37" s="13" t="s">
        <v>690</v>
      </c>
      <c r="C37" s="514" t="str">
        <f>BIBLE!E42</f>
        <v>H04</v>
      </c>
      <c r="D37" s="272" t="str">
        <f>BIBLE!F42</f>
        <v>Quel était le degré de complicité entre votre enfant et l'autre parent ?</v>
      </c>
      <c r="E37" s="67">
        <f>IF(Test_Bible!B100=" ","",Test_Bible!P100)</f>
        <v>6</v>
      </c>
      <c r="F37" s="1910" t="str">
        <f>BIBLE!E81</f>
        <v>PFA01</v>
      </c>
      <c r="G37" s="1531" t="str">
        <f>BIBLE!F81</f>
        <v xml:space="preserve">Comment qualifieriez-vous la relation et le degré de complicité entre votre enfant et l'autre parent, aujourd'hui (temps présent) ? </v>
      </c>
      <c r="H37" s="67">
        <f>IF(Test_Bible!B165="","",Test_Bible!P165)</f>
        <v>7</v>
      </c>
      <c r="I37" s="1914"/>
      <c r="J37" s="8"/>
      <c r="M37" s="13"/>
      <c r="N37" s="13"/>
      <c r="O37" s="13"/>
      <c r="P37" s="2361"/>
      <c r="Q37" s="2362"/>
      <c r="T37" s="1233">
        <v>10</v>
      </c>
      <c r="U37" s="1460" t="s">
        <v>1938</v>
      </c>
      <c r="V37" s="1233"/>
      <c r="W37" s="1233"/>
      <c r="X37" s="1389"/>
      <c r="AA37" s="2647"/>
      <c r="AB37" s="53"/>
      <c r="AD37" s="557">
        <v>8</v>
      </c>
      <c r="AE37" s="2128">
        <f t="shared" si="2"/>
        <v>-7</v>
      </c>
      <c r="AF37" s="2128">
        <f t="shared" si="3"/>
        <v>-6</v>
      </c>
      <c r="AG37" s="2128">
        <f t="shared" si="4"/>
        <v>-5</v>
      </c>
      <c r="AH37" s="2128">
        <f t="shared" si="4"/>
        <v>-4</v>
      </c>
      <c r="AI37" s="2128">
        <f t="shared" si="4"/>
        <v>-3</v>
      </c>
      <c r="AJ37" s="2128">
        <f t="shared" si="4"/>
        <v>-2</v>
      </c>
      <c r="AK37" s="2128">
        <f t="shared" si="4"/>
        <v>-1</v>
      </c>
      <c r="AL37" s="2128">
        <f t="shared" si="4"/>
        <v>0</v>
      </c>
      <c r="AM37" s="2128">
        <f t="shared" si="4"/>
        <v>1</v>
      </c>
      <c r="AN37" s="2128">
        <f t="shared" si="4"/>
        <v>2</v>
      </c>
      <c r="AO37" s="2637"/>
    </row>
    <row r="38" spans="1:41" ht="19" customHeight="1" x14ac:dyDescent="0.2">
      <c r="A38" s="2583"/>
      <c r="C38" s="514"/>
      <c r="D38" s="272"/>
      <c r="E38" s="67"/>
      <c r="F38" s="1923"/>
      <c r="H38" s="67"/>
      <c r="I38" s="1913"/>
      <c r="J38" s="8"/>
      <c r="P38" s="2357"/>
      <c r="Q38" s="2358"/>
      <c r="T38" s="1692" t="s">
        <v>258</v>
      </c>
      <c r="U38" s="1691"/>
      <c r="V38" s="1691"/>
      <c r="W38" s="1691"/>
      <c r="X38" s="1691"/>
      <c r="AA38" s="2647"/>
      <c r="AB38" s="53"/>
      <c r="AD38" s="557">
        <v>9</v>
      </c>
      <c r="AE38" s="2128">
        <f t="shared" si="2"/>
        <v>-8</v>
      </c>
      <c r="AF38" s="2128">
        <f t="shared" si="3"/>
        <v>-7</v>
      </c>
      <c r="AG38" s="2128">
        <f t="shared" si="4"/>
        <v>-6</v>
      </c>
      <c r="AH38" s="2128">
        <f t="shared" si="4"/>
        <v>-5</v>
      </c>
      <c r="AI38" s="2128">
        <f t="shared" si="4"/>
        <v>-4</v>
      </c>
      <c r="AJ38" s="2128">
        <f t="shared" si="4"/>
        <v>-3</v>
      </c>
      <c r="AK38" s="2128">
        <f t="shared" si="4"/>
        <v>-2</v>
      </c>
      <c r="AL38" s="2128">
        <f t="shared" si="4"/>
        <v>-1</v>
      </c>
      <c r="AM38" s="2128">
        <f t="shared" si="4"/>
        <v>0</v>
      </c>
      <c r="AN38" s="2128">
        <f t="shared" si="4"/>
        <v>1</v>
      </c>
      <c r="AO38" s="2637"/>
    </row>
    <row r="39" spans="1:41" ht="30" customHeight="1" x14ac:dyDescent="0.2">
      <c r="A39" s="58"/>
      <c r="D39" s="2" t="s">
        <v>1805</v>
      </c>
      <c r="E39" s="1831">
        <f>MAX(E37:E38)</f>
        <v>6</v>
      </c>
      <c r="G39" s="2" t="s">
        <v>1805</v>
      </c>
      <c r="H39" s="1238">
        <f>MAX(H37:H38)</f>
        <v>7</v>
      </c>
      <c r="I39" s="1915">
        <f>IF(E39=0,"Ne peut statuer",VLOOKUP(E39,Echelle_Lineaire_Diff,H39+1))</f>
        <v>1</v>
      </c>
      <c r="J39" s="8"/>
      <c r="P39" s="2357"/>
      <c r="Q39" s="2358"/>
      <c r="T39" s="1692">
        <v>0</v>
      </c>
      <c r="U39" s="1460" t="s">
        <v>607</v>
      </c>
      <c r="V39" s="1691"/>
      <c r="W39" s="1691"/>
      <c r="X39" s="1691"/>
      <c r="AA39" s="2647"/>
      <c r="AB39" s="53" t="s">
        <v>1922</v>
      </c>
      <c r="AD39" s="557">
        <v>10</v>
      </c>
      <c r="AE39" s="2128">
        <f t="shared" si="2"/>
        <v>-9</v>
      </c>
      <c r="AF39" s="2128">
        <f t="shared" si="3"/>
        <v>-8</v>
      </c>
      <c r="AG39" s="2128">
        <f t="shared" si="4"/>
        <v>-7</v>
      </c>
      <c r="AH39" s="2128">
        <f t="shared" si="4"/>
        <v>-6</v>
      </c>
      <c r="AI39" s="2128">
        <f t="shared" si="4"/>
        <v>-5</v>
      </c>
      <c r="AJ39" s="2128">
        <f t="shared" si="4"/>
        <v>-4</v>
      </c>
      <c r="AK39" s="2128">
        <f t="shared" si="4"/>
        <v>-3</v>
      </c>
      <c r="AL39" s="2128">
        <f t="shared" si="4"/>
        <v>-2</v>
      </c>
      <c r="AM39" s="2128">
        <f t="shared" si="4"/>
        <v>-1</v>
      </c>
      <c r="AN39" s="2128">
        <f t="shared" si="4"/>
        <v>0</v>
      </c>
    </row>
    <row r="40" spans="1:41" ht="67" customHeight="1" x14ac:dyDescent="0.2">
      <c r="A40" s="58"/>
      <c r="D40" s="2" t="s">
        <v>1928</v>
      </c>
      <c r="E40" s="2133">
        <f>MAX(E31,E35,E39)</f>
        <v>6</v>
      </c>
      <c r="G40" s="2" t="s">
        <v>1928</v>
      </c>
      <c r="H40" s="2134">
        <f>MAX(H31,H35,H39)</f>
        <v>7</v>
      </c>
      <c r="I40" s="1915">
        <f>IF(E40=0,"Ne peut statuer",VLOOKUP(E40,Echelle_Lineaire_Diff,H40+1))</f>
        <v>1</v>
      </c>
      <c r="J40" s="1829">
        <f>E40</f>
        <v>6</v>
      </c>
      <c r="K40" s="1829">
        <f>I40</f>
        <v>1</v>
      </c>
      <c r="L40" s="442" t="str">
        <f>IF(J40=0,$U$39,IF(K40&gt;0,VLOOKUP(K40,$T$11:$U$24,2),VLOOKUP(ABS(K40),$T$26:$U$37,2)))</f>
        <v>Aucun ou peu de changement observé</v>
      </c>
      <c r="M40" s="2138"/>
      <c r="N40" s="2138"/>
      <c r="O40" s="2138"/>
      <c r="P40" s="2359"/>
      <c r="Q40" s="2360"/>
      <c r="T40" s="4" t="s">
        <v>1946</v>
      </c>
      <c r="U40" s="7"/>
      <c r="V40" s="7"/>
      <c r="W40" s="7"/>
      <c r="X40" s="7"/>
      <c r="AA40" s="2130"/>
      <c r="AB40" s="53"/>
      <c r="AD40" s="8"/>
      <c r="AE40" s="2646" t="s">
        <v>490</v>
      </c>
      <c r="AF40" s="2646"/>
      <c r="AG40" s="2646"/>
      <c r="AH40" s="2646"/>
      <c r="AI40" s="2646"/>
      <c r="AJ40" s="2646"/>
      <c r="AK40" s="2646"/>
      <c r="AL40" s="2646"/>
      <c r="AM40" s="2646"/>
      <c r="AN40" s="2128"/>
    </row>
    <row r="41" spans="1:41" x14ac:dyDescent="0.2">
      <c r="A41" s="58"/>
      <c r="I41" s="1913"/>
      <c r="J41" s="8"/>
      <c r="P41" s="2357"/>
      <c r="Q41" s="2358"/>
      <c r="U41" t="s">
        <v>258</v>
      </c>
      <c r="V41" t="s">
        <v>259</v>
      </c>
      <c r="W41" t="s">
        <v>672</v>
      </c>
      <c r="X41" t="s">
        <v>281</v>
      </c>
      <c r="AB41" s="53"/>
      <c r="AD41" s="8"/>
      <c r="AO41" s="2132" t="s">
        <v>491</v>
      </c>
    </row>
    <row r="42" spans="1:41" ht="28" customHeight="1" x14ac:dyDescent="0.25">
      <c r="L42" s="34" t="s">
        <v>2145</v>
      </c>
      <c r="P42" s="2357"/>
      <c r="Q42" s="2358"/>
    </row>
    <row r="43" spans="1:41" ht="28" customHeight="1" x14ac:dyDescent="0.2">
      <c r="L43" t="s">
        <v>2022</v>
      </c>
      <c r="P43" s="2357"/>
      <c r="Q43" s="2358"/>
    </row>
    <row r="44" spans="1:41" ht="35" customHeight="1" x14ac:dyDescent="0.2">
      <c r="M44" s="2112"/>
      <c r="N44" s="2112"/>
      <c r="O44" s="2112"/>
      <c r="P44" s="2363"/>
      <c r="Q44" s="2364"/>
    </row>
    <row r="45" spans="1:41" ht="35" customHeight="1" x14ac:dyDescent="0.2">
      <c r="L45" s="2207" t="s">
        <v>2002</v>
      </c>
      <c r="M45" s="2112"/>
      <c r="N45" s="2112"/>
      <c r="O45" s="2112"/>
      <c r="P45" s="2363"/>
      <c r="Q45" s="2364"/>
    </row>
    <row r="46" spans="1:41" ht="38" customHeight="1" x14ac:dyDescent="0.2">
      <c r="L46" s="7" t="s">
        <v>2026</v>
      </c>
      <c r="M46" s="2138"/>
      <c r="N46" s="2138"/>
      <c r="O46" s="2138"/>
      <c r="P46" s="2359"/>
      <c r="Q46" s="2360"/>
    </row>
    <row r="47" spans="1:41" ht="38" customHeight="1" x14ac:dyDescent="0.2">
      <c r="L47" s="7" t="s">
        <v>1744</v>
      </c>
      <c r="M47" s="2138"/>
      <c r="N47" s="2138"/>
      <c r="O47" s="2138"/>
      <c r="P47" s="2359"/>
      <c r="Q47" s="2360"/>
    </row>
    <row r="48" spans="1:41" ht="43" customHeight="1" x14ac:dyDescent="0.2">
      <c r="L48" s="7" t="s">
        <v>2025</v>
      </c>
      <c r="M48" s="2138"/>
      <c r="N48" s="2138"/>
      <c r="O48" s="2138"/>
      <c r="P48" s="2359"/>
      <c r="Q48" s="2360"/>
    </row>
    <row r="49" spans="1:36" ht="43" customHeight="1" x14ac:dyDescent="0.2">
      <c r="L49" t="s">
        <v>2019</v>
      </c>
      <c r="M49" s="2138"/>
      <c r="N49" s="2138"/>
      <c r="O49" s="2138"/>
      <c r="P49" s="2359"/>
      <c r="Q49" s="2360"/>
    </row>
    <row r="50" spans="1:36" ht="43" customHeight="1" x14ac:dyDescent="0.2">
      <c r="P50" s="2357"/>
      <c r="Q50" s="2358"/>
    </row>
    <row r="51" spans="1:36" ht="43" customHeight="1" x14ac:dyDescent="0.2">
      <c r="P51" s="2357"/>
      <c r="Q51" s="2358"/>
    </row>
    <row r="52" spans="1:36" ht="43" customHeight="1" x14ac:dyDescent="0.2">
      <c r="P52" s="2357"/>
      <c r="Q52" s="2358"/>
    </row>
    <row r="53" spans="1:36" ht="43" customHeight="1" x14ac:dyDescent="0.25">
      <c r="L53" s="49" t="s">
        <v>2146</v>
      </c>
      <c r="P53" s="2357"/>
      <c r="Q53" s="2358"/>
    </row>
    <row r="54" spans="1:36" ht="30" customHeight="1" x14ac:dyDescent="0.3">
      <c r="A54" s="58"/>
      <c r="B54" s="2643" t="s">
        <v>1936</v>
      </c>
      <c r="C54" s="2643"/>
      <c r="D54" s="2643"/>
      <c r="E54" s="2643"/>
      <c r="F54" s="2643"/>
      <c r="G54" s="2643"/>
      <c r="H54" s="2643"/>
      <c r="I54" s="2644"/>
      <c r="J54" s="8"/>
      <c r="M54" s="2483" t="s">
        <v>2150</v>
      </c>
      <c r="N54" s="2483"/>
      <c r="O54" s="2483"/>
      <c r="P54" s="2354"/>
      <c r="Q54" s="1379"/>
      <c r="AF54" s="2" t="s">
        <v>1525</v>
      </c>
      <c r="AG54" s="55">
        <f>E63</f>
        <v>2</v>
      </c>
      <c r="AH54" s="55">
        <f>H63</f>
        <v>10</v>
      </c>
      <c r="AI54" s="55">
        <f>I63</f>
        <v>-8</v>
      </c>
      <c r="AJ54" t="str">
        <f>IF(AG54=0,$U$39,IF(AI54&gt;0,VLOOKUP(AI54,$T$11:$U$24,2),VLOOKUP(ABS(AI54),$T$26:$U$37,2)))</f>
        <v>Dégradation importante</v>
      </c>
    </row>
    <row r="55" spans="1:36" ht="34" customHeight="1" x14ac:dyDescent="0.3">
      <c r="A55" s="58"/>
      <c r="B55" s="2291"/>
      <c r="C55" s="2291"/>
      <c r="D55" s="2291"/>
      <c r="E55" s="2291"/>
      <c r="F55" s="2291"/>
      <c r="G55" s="2291"/>
      <c r="H55" s="2291"/>
      <c r="I55" s="2292"/>
      <c r="J55" s="8"/>
      <c r="M55" s="32" t="s">
        <v>2147</v>
      </c>
      <c r="N55" s="32" t="s">
        <v>2149</v>
      </c>
      <c r="O55" s="32" t="s">
        <v>2148</v>
      </c>
      <c r="P55" s="2354"/>
      <c r="Q55" s="1379"/>
      <c r="AF55" s="2"/>
      <c r="AG55" s="55"/>
      <c r="AH55" s="55"/>
      <c r="AI55" s="55"/>
    </row>
    <row r="56" spans="1:36" ht="51" x14ac:dyDescent="0.2">
      <c r="A56" s="2582" t="s">
        <v>1918</v>
      </c>
      <c r="B56" s="13" t="s">
        <v>691</v>
      </c>
      <c r="C56" s="514" t="str">
        <f>BIBLE!E47</f>
        <v>H06</v>
      </c>
      <c r="D56" s="272" t="str">
        <f>BIBLE!F47</f>
        <v xml:space="preserve">Dans quelle mesure diriez-vous que l'autre parent percevait votre rôle parental aussi important que le sien ? </v>
      </c>
      <c r="E56" s="67">
        <f>IF(Test_Bible!B106=" ","",Test_Bible!P106)</f>
        <v>1</v>
      </c>
      <c r="F56" s="1910" t="str">
        <f>BIBLE!E119</f>
        <v>PFA21</v>
      </c>
      <c r="G56" s="1531" t="str">
        <f>BIBLE!F119</f>
        <v xml:space="preserve">Dans quelle mesure diriez-vous que l'autre parent vous considère comme étant son égal·e sur le plan parental ? </v>
      </c>
      <c r="H56" s="67">
        <f>IF(Test_Bible!B205="","",Test_Bible!P205)</f>
        <v>10</v>
      </c>
      <c r="I56" s="1914"/>
      <c r="J56" s="8"/>
      <c r="L56" s="2310" t="s">
        <v>2139</v>
      </c>
      <c r="M56" s="2313"/>
      <c r="N56" s="2313"/>
      <c r="O56" s="2313"/>
      <c r="P56" s="2355"/>
      <c r="Q56" s="2356"/>
      <c r="AF56" s="2" t="s">
        <v>1527</v>
      </c>
      <c r="AG56" s="55">
        <f>E40</f>
        <v>6</v>
      </c>
      <c r="AH56" s="55">
        <f>H40</f>
        <v>7</v>
      </c>
      <c r="AI56" s="55">
        <f>I40</f>
        <v>1</v>
      </c>
      <c r="AJ56" t="str">
        <f>IF(AG56=0,$U$39,IF(AI56&gt;0,VLOOKUP(AI56,$T$11:$U$24,2),VLOOKUP(ABS(AI56),$T$26:$U$37,2)))</f>
        <v>Aucun ou peu de changement observé</v>
      </c>
    </row>
    <row r="57" spans="1:36" ht="36" customHeight="1" x14ac:dyDescent="0.2">
      <c r="A57" s="2583"/>
      <c r="C57" s="514" t="str">
        <f>BIBLE!E48</f>
        <v>H06a</v>
      </c>
      <c r="D57" s="13" t="str">
        <f>BIBLE!F48</f>
        <v>Arrivait-il que l'autre parent présente à votre entourage une vision négative de vos compétences parentales ?</v>
      </c>
      <c r="E57" s="67" t="str">
        <f>IF(Test_Bible!B107=" ","",Test_Bible!P107)</f>
        <v/>
      </c>
      <c r="F57" s="1923"/>
      <c r="H57" s="67"/>
      <c r="I57" s="1913"/>
      <c r="J57" s="8"/>
      <c r="M57" s="13"/>
      <c r="N57" s="13"/>
      <c r="O57" s="13"/>
      <c r="P57" s="2361"/>
      <c r="Q57" s="2362"/>
      <c r="AF57" s="2" t="s">
        <v>1526</v>
      </c>
      <c r="AG57" s="55">
        <f>E19</f>
        <v>10</v>
      </c>
      <c r="AH57" s="55">
        <f>H19</f>
        <v>9</v>
      </c>
      <c r="AI57" s="55">
        <f>I19</f>
        <v>-1</v>
      </c>
      <c r="AJ57" t="str">
        <f>IF(AG57=0,$U$39,IF(AI57&gt;0,VLOOKUP(AI57,$T$11:$U$24,2),VLOOKUP(ABS(AI57),$T$26:$U$37,2)))</f>
        <v>Aucun ou peu de changement observé</v>
      </c>
    </row>
    <row r="58" spans="1:36" ht="34" customHeight="1" x14ac:dyDescent="0.2">
      <c r="A58" s="58"/>
      <c r="D58" s="2" t="s">
        <v>1805</v>
      </c>
      <c r="E58" s="1831">
        <f>MAX(E56:E57)</f>
        <v>1</v>
      </c>
      <c r="G58" s="2" t="s">
        <v>1805</v>
      </c>
      <c r="H58" s="1238">
        <f>MAX(H56:H57)</f>
        <v>10</v>
      </c>
      <c r="I58" s="1915">
        <f>IF(E58=0,"Ne peut statuer",VLOOKUP(E58,Échelle_Exp_Diff,HLOOKUP(H58,$AD$10:$AJ$11,2)))</f>
        <v>-9</v>
      </c>
      <c r="J58" s="8"/>
      <c r="M58" s="13"/>
      <c r="N58" s="13"/>
      <c r="O58" s="13"/>
      <c r="P58" s="2361"/>
      <c r="Q58" s="2362"/>
      <c r="AF58" s="2" t="s">
        <v>1528</v>
      </c>
      <c r="AG58" s="55">
        <f>E25</f>
        <v>0</v>
      </c>
      <c r="AH58" s="55">
        <f>H25</f>
        <v>0</v>
      </c>
      <c r="AI58" s="55" t="str">
        <f>I25</f>
        <v>Ne peut statuer</v>
      </c>
      <c r="AJ58" t="str">
        <f>IF(AG58=0,$U$39,IF(AI58&gt;0,VLOOKUP(AI58,$T$11:$U$24,2),VLOOKUP(ABS(AI58),$T$26:$U$37,2)))</f>
        <v>Il n'est pas possible de statuer puisque l'historique est absent</v>
      </c>
    </row>
    <row r="59" spans="1:36" x14ac:dyDescent="0.2">
      <c r="A59" s="58"/>
      <c r="I59" s="1913"/>
      <c r="J59" s="8"/>
      <c r="M59" s="13"/>
      <c r="N59" s="13"/>
      <c r="O59" s="13"/>
      <c r="P59" s="2361"/>
      <c r="Q59" s="2362"/>
    </row>
    <row r="60" spans="1:36" ht="34" x14ac:dyDescent="0.2">
      <c r="A60" s="2582" t="s">
        <v>1918</v>
      </c>
      <c r="B60" s="7" t="s">
        <v>692</v>
      </c>
      <c r="C60" s="514" t="str">
        <f>BIBLE!E45</f>
        <v>H05</v>
      </c>
      <c r="D60" s="272" t="str">
        <f>BIBLE!F45</f>
        <v>Arrivait-il que l'autre parent vous critique ou vous dénigre devant votre enfant ?</v>
      </c>
      <c r="E60" s="67">
        <f>IF(Test_Bible!B104=" ","",Test_Bible!P104)</f>
        <v>2</v>
      </c>
      <c r="F60" s="1910" t="str">
        <f>BIBLE!E100</f>
        <v>PFA13</v>
      </c>
      <c r="G60" s="1531" t="str">
        <f>BIBLE!F100</f>
        <v>L’autre parent vous dénigre en la présence de votre enfant.</v>
      </c>
      <c r="H60" s="67">
        <f>IF(Test_Bible!B186="","",Test_Bible!P186)</f>
        <v>4</v>
      </c>
      <c r="I60" s="1914"/>
      <c r="J60" s="8"/>
      <c r="M60" s="13"/>
      <c r="N60" s="13"/>
      <c r="O60" s="13"/>
      <c r="P60" s="2361"/>
      <c r="Q60" s="2362"/>
    </row>
    <row r="61" spans="1:36" x14ac:dyDescent="0.2">
      <c r="A61" s="2583"/>
      <c r="C61" s="514"/>
      <c r="F61" s="1923"/>
      <c r="H61" s="67"/>
      <c r="I61" s="1913"/>
      <c r="J61" s="8"/>
      <c r="M61" s="13"/>
      <c r="N61" s="13"/>
      <c r="O61" s="13"/>
      <c r="P61" s="2361"/>
      <c r="Q61" s="2362"/>
    </row>
    <row r="62" spans="1:36" ht="31" customHeight="1" x14ac:dyDescent="0.2">
      <c r="D62" s="2" t="s">
        <v>1805</v>
      </c>
      <c r="E62" s="1831">
        <f>MAX(E60)</f>
        <v>2</v>
      </c>
      <c r="G62" s="2" t="s">
        <v>1805</v>
      </c>
      <c r="H62" s="1238">
        <f>MAX(H60:H61)</f>
        <v>4</v>
      </c>
      <c r="I62" s="1915">
        <f>IF(E62=0,"Ne peut statuer",VLOOKUP(E62,Échelle_Exp_Diff,HLOOKUP(H62,$AD$10:$AJ$11,2)))</f>
        <v>-2</v>
      </c>
      <c r="J62" s="8"/>
      <c r="P62" s="2357"/>
      <c r="Q62" s="2358"/>
    </row>
    <row r="63" spans="1:36" s="7" customFormat="1" ht="60" customHeight="1" thickBot="1" x14ac:dyDescent="0.25">
      <c r="D63" s="53" t="s">
        <v>1928</v>
      </c>
      <c r="E63" s="2133">
        <f>MAX(E58,E62)</f>
        <v>2</v>
      </c>
      <c r="G63" s="53" t="s">
        <v>1928</v>
      </c>
      <c r="H63" s="2134">
        <f>MAX(H58,H62)</f>
        <v>10</v>
      </c>
      <c r="I63" s="1915">
        <f>IF(E63=0,"Ne peut statuer",VLOOKUP(E63,Échelle_Exp_Diff,HLOOKUP(H63,$AD$10:$AJ$11,2)))</f>
        <v>-8</v>
      </c>
      <c r="J63" s="1829">
        <f>E63</f>
        <v>2</v>
      </c>
      <c r="K63" s="1829">
        <f>I63</f>
        <v>-8</v>
      </c>
      <c r="L63" s="442" t="str">
        <f>IF(J63=0,$U$39,IF(K63&gt;0,VLOOKUP(K63,$T$11:$U$24,2),VLOOKUP(ABS(K63),$T$26:$U$37,2)))</f>
        <v>Dégradation importante</v>
      </c>
      <c r="M63" s="2108"/>
      <c r="N63" s="2108"/>
      <c r="O63" s="2108"/>
      <c r="P63" s="2365"/>
      <c r="Q63" s="2366"/>
      <c r="T63"/>
      <c r="U63"/>
      <c r="V63"/>
      <c r="W63"/>
      <c r="X63"/>
    </row>
    <row r="65" spans="12:24" ht="42" customHeight="1" x14ac:dyDescent="0.2">
      <c r="L65" s="7" t="s">
        <v>2026</v>
      </c>
      <c r="M65" s="2138"/>
      <c r="N65" s="2138"/>
      <c r="O65" s="2138"/>
      <c r="P65" s="2138"/>
      <c r="Q65" s="2138"/>
    </row>
    <row r="66" spans="12:24" ht="41" customHeight="1" x14ac:dyDescent="0.2">
      <c r="L66" t="s">
        <v>2019</v>
      </c>
      <c r="M66" s="2138"/>
      <c r="N66" s="2138"/>
      <c r="O66" s="2138"/>
      <c r="P66" s="2138"/>
      <c r="Q66" s="2138"/>
      <c r="T66" s="7"/>
      <c r="U66" s="7"/>
      <c r="V66" s="7"/>
      <c r="W66" s="7"/>
      <c r="X66" s="7"/>
    </row>
  </sheetData>
  <mergeCells count="27">
    <mergeCell ref="A60:A61"/>
    <mergeCell ref="B27:I27"/>
    <mergeCell ref="A17:A18"/>
    <mergeCell ref="A23:A24"/>
    <mergeCell ref="A29:A30"/>
    <mergeCell ref="A33:A34"/>
    <mergeCell ref="A37:A38"/>
    <mergeCell ref="AE40:AM40"/>
    <mergeCell ref="AE24:AN24"/>
    <mergeCell ref="AA30:AA39"/>
    <mergeCell ref="A56:A57"/>
    <mergeCell ref="B54:I54"/>
    <mergeCell ref="M26:O26"/>
    <mergeCell ref="M54:O54"/>
    <mergeCell ref="C12:E12"/>
    <mergeCell ref="F12:H12"/>
    <mergeCell ref="B13:I13"/>
    <mergeCell ref="B21:I21"/>
    <mergeCell ref="M14:O14"/>
    <mergeCell ref="M20:O20"/>
    <mergeCell ref="M13:O13"/>
    <mergeCell ref="AO30:AO38"/>
    <mergeCell ref="AE7:AJ7"/>
    <mergeCell ref="AA12:AA19"/>
    <mergeCell ref="AE6:AJ6"/>
    <mergeCell ref="AK12:AK18"/>
    <mergeCell ref="AE20:AI20"/>
  </mergeCells>
  <phoneticPr fontId="11" type="noConversion"/>
  <conditionalFormatting sqref="AE12:AJ19 AE30:AN39 AN40">
    <cfRule type="cellIs" dxfId="2" priority="13" operator="lessThan">
      <formula>-1</formula>
    </cfRule>
    <cfRule type="cellIs" dxfId="1" priority="15" operator="between">
      <formula>-1</formula>
      <formula>1</formula>
    </cfRule>
    <cfRule type="cellIs" dxfId="0" priority="16" stopIfTrue="1" operator="greaterThan">
      <formula>1</formula>
    </cfRule>
  </conditionalFormatting>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J15"/>
  <sheetViews>
    <sheetView topLeftCell="A6" workbookViewId="0">
      <selection activeCell="F23" sqref="F23"/>
    </sheetView>
  </sheetViews>
  <sheetFormatPr baseColWidth="10" defaultRowHeight="16" x14ac:dyDescent="0.2"/>
  <cols>
    <col min="1" max="1" width="22.6640625" customWidth="1"/>
    <col min="2" max="2" width="26.1640625" customWidth="1"/>
    <col min="3" max="3" width="35.83203125" customWidth="1"/>
    <col min="4" max="4" width="31.6640625" style="8" customWidth="1"/>
    <col min="5" max="5" width="31.6640625" customWidth="1"/>
    <col min="6" max="6" width="31.6640625" style="5" customWidth="1"/>
    <col min="7" max="7" width="42.33203125" style="5" customWidth="1"/>
    <col min="8" max="8" width="42.33203125" customWidth="1"/>
    <col min="9" max="9" width="9.5" customWidth="1"/>
    <col min="10" max="10" width="37.1640625" customWidth="1"/>
    <col min="11" max="11" width="18.6640625" customWidth="1"/>
    <col min="12" max="12" width="31.83203125" customWidth="1"/>
    <col min="13" max="13" width="61.83203125" bestFit="1" customWidth="1"/>
    <col min="14" max="14" width="45.83203125" bestFit="1" customWidth="1"/>
    <col min="15" max="15" width="37" bestFit="1" customWidth="1"/>
    <col min="16" max="16" width="22.6640625" bestFit="1" customWidth="1"/>
    <col min="17" max="17" width="58.6640625" bestFit="1" customWidth="1"/>
    <col min="18" max="18" width="20.5" bestFit="1" customWidth="1"/>
    <col min="19" max="19" width="37.33203125" bestFit="1" customWidth="1"/>
    <col min="20" max="20" width="28" bestFit="1" customWidth="1"/>
    <col min="21" max="21" width="47" bestFit="1" customWidth="1"/>
    <col min="22" max="22" width="18" bestFit="1" customWidth="1"/>
    <col min="23" max="23" width="34" bestFit="1" customWidth="1"/>
    <col min="24" max="24" width="42" bestFit="1" customWidth="1"/>
    <col min="25" max="25" width="27" bestFit="1" customWidth="1"/>
    <col min="26" max="26" width="12.33203125" bestFit="1" customWidth="1"/>
  </cols>
  <sheetData>
    <row r="1" spans="1:10" ht="53" customHeight="1" x14ac:dyDescent="0.3">
      <c r="A1" s="1731" t="s">
        <v>1632</v>
      </c>
    </row>
    <row r="2" spans="1:10" ht="53" customHeight="1" x14ac:dyDescent="0.25">
      <c r="A2" s="410" t="s">
        <v>2003</v>
      </c>
      <c r="C2" s="410" t="s">
        <v>2158</v>
      </c>
      <c r="J2" s="410"/>
    </row>
    <row r="3" spans="1:10" ht="95" customHeight="1" x14ac:dyDescent="0.25">
      <c r="A3" s="410"/>
      <c r="C3" s="410"/>
      <c r="E3" t="s">
        <v>2156</v>
      </c>
      <c r="J3" s="410"/>
    </row>
    <row r="4" spans="1:10" ht="151" customHeight="1" x14ac:dyDescent="0.25">
      <c r="A4" s="410"/>
      <c r="C4" s="410"/>
      <c r="E4" s="82" t="s">
        <v>2157</v>
      </c>
      <c r="J4" s="410"/>
    </row>
    <row r="5" spans="1:10" ht="41" customHeight="1" x14ac:dyDescent="0.25">
      <c r="A5" s="410"/>
      <c r="C5" s="410"/>
      <c r="J5" s="410"/>
    </row>
    <row r="6" spans="1:10" ht="91" customHeight="1" x14ac:dyDescent="0.2">
      <c r="A6" s="2288" t="s">
        <v>2004</v>
      </c>
      <c r="C6" s="2650" t="s">
        <v>2161</v>
      </c>
      <c r="D6" s="2650"/>
      <c r="E6" s="2650"/>
      <c r="F6" s="2650"/>
      <c r="J6" s="1759"/>
    </row>
    <row r="7" spans="1:10" ht="53" customHeight="1" thickBot="1" x14ac:dyDescent="0.35">
      <c r="A7" s="1731"/>
      <c r="C7" s="1759"/>
      <c r="J7" s="1766"/>
    </row>
    <row r="8" spans="1:10" ht="35" customHeight="1" x14ac:dyDescent="0.2">
      <c r="C8" s="55"/>
      <c r="D8" s="2653" t="s">
        <v>2204</v>
      </c>
      <c r="E8" s="2654"/>
      <c r="F8" s="2654"/>
      <c r="G8" s="2367"/>
      <c r="H8" s="1158"/>
    </row>
    <row r="9" spans="1:10" ht="70" customHeight="1" x14ac:dyDescent="0.2">
      <c r="C9" s="53" t="s">
        <v>2139</v>
      </c>
      <c r="D9" s="2651" t="s">
        <v>2162</v>
      </c>
      <c r="E9" s="2652"/>
      <c r="F9" s="2652"/>
      <c r="G9" s="2368" t="s">
        <v>1744</v>
      </c>
      <c r="H9" s="2369" t="s">
        <v>1849</v>
      </c>
    </row>
    <row r="10" spans="1:10" ht="57" customHeight="1" x14ac:dyDescent="0.2">
      <c r="B10" s="706" t="s">
        <v>1670</v>
      </c>
      <c r="C10" s="706" t="s">
        <v>2155</v>
      </c>
      <c r="D10" s="706"/>
      <c r="E10" s="706"/>
      <c r="F10" s="706"/>
      <c r="G10" s="2346"/>
      <c r="H10" s="292"/>
    </row>
    <row r="11" spans="1:10" ht="57" customHeight="1" x14ac:dyDescent="0.2">
      <c r="A11" t="s">
        <v>1012</v>
      </c>
      <c r="B11" s="2315">
        <f>Test_Bible!AH433</f>
        <v>0.550561797752809</v>
      </c>
      <c r="C11" s="2315">
        <f>Test_Bible!AH458</f>
        <v>0.5267857142857143</v>
      </c>
      <c r="G11" s="2346"/>
      <c r="H11" s="292"/>
    </row>
    <row r="12" spans="1:10" ht="57" customHeight="1" x14ac:dyDescent="0.2">
      <c r="A12" t="s">
        <v>1013</v>
      </c>
      <c r="B12" s="2315">
        <f>Test_Bible!AI433</f>
        <v>0.27768860353130015</v>
      </c>
      <c r="C12" s="2315">
        <f>Test_Bible!AI458</f>
        <v>0.4107142857142857</v>
      </c>
      <c r="G12" s="2346"/>
      <c r="H12" s="292"/>
    </row>
    <row r="13" spans="1:10" ht="57" customHeight="1" thickBot="1" x14ac:dyDescent="0.25">
      <c r="A13" t="s">
        <v>1014</v>
      </c>
      <c r="B13" s="2315">
        <f>Test_Bible!AJ433</f>
        <v>0.17174959871589085</v>
      </c>
      <c r="C13" s="2315">
        <f>Test_Bible!AJ458</f>
        <v>6.25E-2</v>
      </c>
      <c r="G13" s="2370"/>
      <c r="H13" s="295"/>
    </row>
    <row r="14" spans="1:10" ht="52" customHeight="1" x14ac:dyDescent="0.2">
      <c r="C14" s="53" t="s">
        <v>2026</v>
      </c>
      <c r="D14" s="1462"/>
      <c r="E14" s="1460"/>
      <c r="F14" s="1461"/>
    </row>
    <row r="15" spans="1:10" ht="42" customHeight="1" x14ac:dyDescent="0.2">
      <c r="C15" s="53" t="s">
        <v>2019</v>
      </c>
      <c r="D15" s="1462"/>
      <c r="E15" s="1460"/>
      <c r="F15" s="1461"/>
    </row>
  </sheetData>
  <mergeCells count="3">
    <mergeCell ref="C6:F6"/>
    <mergeCell ref="D9:F9"/>
    <mergeCell ref="D8:F8"/>
  </mergeCells>
  <phoneticPr fontId="1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AC119"/>
  <sheetViews>
    <sheetView topLeftCell="A101" zoomScale="85" zoomScaleNormal="85" workbookViewId="0">
      <selection activeCell="A102" sqref="A102:XFD102"/>
    </sheetView>
  </sheetViews>
  <sheetFormatPr baseColWidth="10" defaultRowHeight="29" x14ac:dyDescent="0.35"/>
  <cols>
    <col min="1" max="1" width="10.1640625" style="2029" customWidth="1"/>
    <col min="2" max="2" width="16.33203125" style="25" customWidth="1"/>
    <col min="3" max="3" width="13.83203125" customWidth="1"/>
    <col min="4" max="4" width="51" customWidth="1"/>
    <col min="5" max="5" width="9.33203125" style="5" customWidth="1"/>
    <col min="6" max="6" width="8.1640625" style="5" customWidth="1"/>
    <col min="7" max="7" width="13.1640625" customWidth="1"/>
    <col min="8" max="8" width="2.6640625" customWidth="1"/>
    <col min="10" max="10" width="47.6640625" customWidth="1"/>
    <col min="11" max="12" width="9.5" style="5" customWidth="1"/>
    <col min="13" max="13" width="16.1640625" customWidth="1"/>
    <col min="14" max="14" width="3.33203125" customWidth="1"/>
    <col min="15" max="15" width="19.6640625" customWidth="1"/>
    <col min="16" max="16" width="70.83203125" customWidth="1"/>
    <col min="17" max="18" width="9.6640625" style="5" customWidth="1"/>
    <col min="19" max="19" width="14" customWidth="1"/>
    <col min="20" max="20" width="4.6640625" customWidth="1"/>
    <col min="21" max="21" width="8.33203125" customWidth="1"/>
    <col min="22" max="22" width="57" bestFit="1" customWidth="1"/>
    <col min="23" max="24" width="10.33203125" style="5" customWidth="1"/>
    <col min="25" max="25" width="12.5" bestFit="1" customWidth="1"/>
    <col min="26" max="26" width="6.1640625" customWidth="1"/>
    <col min="27" max="27" width="69.83203125" customWidth="1"/>
    <col min="28" max="28" width="6.33203125" customWidth="1"/>
    <col min="29" max="29" width="50" customWidth="1"/>
  </cols>
  <sheetData>
    <row r="1" spans="1:25" x14ac:dyDescent="0.35">
      <c r="B1" s="606" t="s">
        <v>1811</v>
      </c>
      <c r="I1" s="607"/>
    </row>
    <row r="2" spans="1:25" x14ac:dyDescent="0.35">
      <c r="B2" s="606" t="s">
        <v>1822</v>
      </c>
      <c r="I2" s="607"/>
    </row>
    <row r="3" spans="1:25" x14ac:dyDescent="0.35">
      <c r="B3" s="606"/>
      <c r="I3" s="607"/>
    </row>
    <row r="5" spans="1:25" ht="47" customHeight="1" x14ac:dyDescent="0.35">
      <c r="B5" s="746" t="s">
        <v>1821</v>
      </c>
      <c r="C5" s="526"/>
    </row>
    <row r="6" spans="1:25" x14ac:dyDescent="0.35">
      <c r="B6" s="609" t="s">
        <v>502</v>
      </c>
      <c r="D6" s="596" t="s">
        <v>408</v>
      </c>
      <c r="E6" s="816" t="s">
        <v>226</v>
      </c>
      <c r="F6" s="816" t="s">
        <v>22</v>
      </c>
      <c r="G6" s="596"/>
      <c r="H6" s="596"/>
      <c r="J6" s="607" t="s">
        <v>492</v>
      </c>
      <c r="K6" s="816" t="s">
        <v>226</v>
      </c>
      <c r="L6" s="816" t="s">
        <v>22</v>
      </c>
      <c r="M6" s="607"/>
      <c r="N6" s="607"/>
      <c r="O6" s="607"/>
      <c r="P6" s="607" t="s">
        <v>307</v>
      </c>
      <c r="Q6" s="816" t="s">
        <v>226</v>
      </c>
      <c r="R6" s="816" t="s">
        <v>22</v>
      </c>
      <c r="S6" s="607"/>
      <c r="T6" s="607"/>
      <c r="U6" s="607"/>
      <c r="V6" s="607" t="s">
        <v>409</v>
      </c>
      <c r="W6" s="816" t="s">
        <v>226</v>
      </c>
      <c r="X6" s="816" t="s">
        <v>22</v>
      </c>
    </row>
    <row r="7" spans="1:25" ht="15" customHeight="1" thickBot="1" x14ac:dyDescent="0.4">
      <c r="C7" s="620"/>
      <c r="D7" s="621"/>
      <c r="E7" s="620"/>
      <c r="F7" s="620"/>
      <c r="G7" s="622"/>
      <c r="H7" s="678"/>
      <c r="I7" s="678"/>
      <c r="J7" s="678"/>
      <c r="K7" s="1966"/>
      <c r="L7" s="1966"/>
      <c r="M7" s="678"/>
      <c r="N7" s="678"/>
      <c r="O7" s="678"/>
      <c r="P7" s="678"/>
      <c r="Q7" s="1966"/>
      <c r="R7" s="1966"/>
      <c r="S7" s="678"/>
    </row>
    <row r="8" spans="1:25" ht="48" customHeight="1" x14ac:dyDescent="0.35">
      <c r="A8" s="2030">
        <v>1</v>
      </c>
      <c r="B8" s="623" t="s">
        <v>342</v>
      </c>
      <c r="C8" s="613" t="str">
        <f>BIBLE!E84</f>
        <v>PFA03</v>
      </c>
      <c r="D8" s="1215" t="str">
        <f>BIBLE!F84</f>
        <v>Selon vous, dans quelle mesure l'autre parent demande à votre enfant de garder des secrets ou de vous cacher des choses ?</v>
      </c>
      <c r="E8" s="1956">
        <f>Test_Bible!P170</f>
        <v>7</v>
      </c>
      <c r="F8" s="613">
        <f>Test_Bible!D170</f>
        <v>3</v>
      </c>
      <c r="G8" s="625" t="str">
        <f>BIBLE!V84</f>
        <v>Rôle actif de l'enfant</v>
      </c>
      <c r="H8" s="626"/>
      <c r="I8" s="626"/>
      <c r="J8" s="626"/>
      <c r="K8" s="1938"/>
      <c r="L8" s="1938"/>
      <c r="M8" s="626"/>
      <c r="N8" s="1929"/>
      <c r="O8" s="1141" t="str">
        <f>BIBLE!E154</f>
        <v>E03</v>
      </c>
      <c r="P8" s="1142" t="str">
        <f>BIBLE!F154</f>
        <v>Votre enfant garde des secrets et vous cache de l'information concernant sa relation avec l'autre parent.</v>
      </c>
      <c r="Q8" s="1981">
        <f>Test_Bible!P267</f>
        <v>2</v>
      </c>
      <c r="R8" s="1980">
        <f>Test_Bible!D267</f>
        <v>1</v>
      </c>
      <c r="S8" s="1143" t="str">
        <f>BIBLE!V154</f>
        <v>A:Alliance</v>
      </c>
      <c r="T8" s="1746"/>
      <c r="U8" s="626"/>
      <c r="V8" s="626"/>
      <c r="W8" s="1938"/>
      <c r="X8" s="1938"/>
      <c r="Y8" s="1158"/>
    </row>
    <row r="9" spans="1:25" ht="35" thickBot="1" x14ac:dyDescent="0.4">
      <c r="A9" s="2030"/>
      <c r="B9" s="627"/>
      <c r="C9" s="615"/>
      <c r="D9" s="1216"/>
      <c r="E9" s="615"/>
      <c r="F9" s="615"/>
      <c r="G9" s="614"/>
      <c r="H9" s="294"/>
      <c r="I9" s="294"/>
      <c r="J9" s="294"/>
      <c r="K9" s="1957"/>
      <c r="L9" s="1957"/>
      <c r="M9" s="294"/>
      <c r="N9" s="1931"/>
      <c r="O9" s="1145" t="str">
        <f>BIBLE!E155</f>
        <v>E03a</v>
      </c>
      <c r="P9" s="628" t="str">
        <f>BIBLE!F155</f>
        <v>Votre enfant a reçu l’ordre de ne pas vous raconter ce qui se passe chez l’autre parent.</v>
      </c>
      <c r="Q9" s="643">
        <f>Test_Bible!P268</f>
        <v>0</v>
      </c>
      <c r="R9" s="643">
        <f>Test_Bible!D268</f>
        <v>2</v>
      </c>
      <c r="S9" s="1146" t="str">
        <f>BIBLE!V155</f>
        <v>A:Alliance</v>
      </c>
      <c r="T9" s="293"/>
      <c r="U9" s="294"/>
      <c r="V9" s="294"/>
      <c r="W9" s="1957"/>
      <c r="X9" s="1957"/>
      <c r="Y9" s="295"/>
    </row>
    <row r="10" spans="1:25" ht="30" thickBot="1" x14ac:dyDescent="0.4">
      <c r="A10" s="2030"/>
      <c r="C10" s="16"/>
      <c r="D10" s="25"/>
      <c r="E10" s="16"/>
      <c r="F10" s="16"/>
      <c r="G10" s="604"/>
      <c r="O10" s="498"/>
      <c r="P10" s="272"/>
      <c r="Q10" s="16"/>
      <c r="R10" s="16"/>
      <c r="S10" s="1147"/>
    </row>
    <row r="11" spans="1:25" ht="56" customHeight="1" x14ac:dyDescent="0.35">
      <c r="A11" s="2030">
        <v>2</v>
      </c>
      <c r="B11" s="623" t="s">
        <v>319</v>
      </c>
      <c r="C11" s="613" t="str">
        <f>BIBLE!E85</f>
        <v>PFA04</v>
      </c>
      <c r="D11" s="1215" t="str">
        <f>BIBLE!F85</f>
        <v>L’autre parent laisse entendre à votre enfant que vous avez abandonné la famille.</v>
      </c>
      <c r="E11" s="1956">
        <f>Test_Bible!P171</f>
        <v>7</v>
      </c>
      <c r="F11" s="613">
        <f>Test_Bible!D171</f>
        <v>1</v>
      </c>
      <c r="G11" s="651" t="str">
        <f>BIBLE!V85</f>
        <v>Altération ou dévoiement de la réalité</v>
      </c>
      <c r="H11" s="626"/>
      <c r="I11" s="626"/>
      <c r="J11" s="626"/>
      <c r="K11" s="1938"/>
      <c r="L11" s="1938"/>
      <c r="M11" s="626"/>
      <c r="N11" s="1929"/>
      <c r="O11" s="1141" t="str">
        <f>BIBLE!E161</f>
        <v>E06</v>
      </c>
      <c r="P11" s="1142" t="str">
        <f>BIBLE!F161</f>
        <v>Votre enfant vous accuse ou vous reproche d'avoir brisé ou abandonné la famille.</v>
      </c>
      <c r="Q11" s="1981">
        <f>Test_Bible!P278</f>
        <v>1</v>
      </c>
      <c r="R11" s="1980">
        <f>Test_Bible!D278</f>
        <v>1</v>
      </c>
      <c r="S11" s="1148" t="str">
        <f>BIBLE!V161</f>
        <v>Altération ou dévoiement de la réalité</v>
      </c>
      <c r="T11" s="1746"/>
      <c r="U11" s="626"/>
      <c r="V11" s="626"/>
      <c r="W11" s="1938"/>
      <c r="X11" s="1938"/>
      <c r="Y11" s="1158"/>
    </row>
    <row r="12" spans="1:25" ht="61" customHeight="1" thickBot="1" x14ac:dyDescent="0.4">
      <c r="A12" s="2030"/>
      <c r="B12" s="627"/>
      <c r="C12" s="643" t="str">
        <f>BIBLE!E86</f>
        <v>PFA04a</v>
      </c>
      <c r="D12" s="1217" t="str">
        <f>BIBLE!F86</f>
        <v>L’autre parent laisse entendre à votre enfant que vous ne l’aimez pas vraiment.</v>
      </c>
      <c r="E12" s="643">
        <f>Test_Bible!P172</f>
        <v>4</v>
      </c>
      <c r="F12" s="643">
        <f>Test_Bible!D172</f>
        <v>2</v>
      </c>
      <c r="G12" s="644" t="str">
        <f>BIBLE!V86</f>
        <v>Altération ou dévoiement de la réalité</v>
      </c>
      <c r="H12" s="294"/>
      <c r="I12" s="294"/>
      <c r="J12" s="294"/>
      <c r="K12" s="1957"/>
      <c r="L12" s="1957"/>
      <c r="M12" s="294"/>
      <c r="N12" s="294"/>
      <c r="O12" s="294"/>
      <c r="P12" s="294"/>
      <c r="Q12" s="1957"/>
      <c r="R12" s="1957"/>
      <c r="S12" s="295"/>
      <c r="T12" s="293"/>
      <c r="U12" s="294"/>
      <c r="V12" s="294"/>
      <c r="W12" s="1957"/>
      <c r="X12" s="1957"/>
      <c r="Y12" s="295"/>
    </row>
    <row r="13" spans="1:25" ht="30" thickBot="1" x14ac:dyDescent="0.4">
      <c r="A13" s="2030"/>
      <c r="C13" s="16"/>
      <c r="D13" s="25"/>
      <c r="E13" s="16"/>
      <c r="F13" s="16"/>
      <c r="G13" s="604"/>
    </row>
    <row r="14" spans="1:25" ht="64" customHeight="1" thickBot="1" x14ac:dyDescent="0.4">
      <c r="A14" s="2030">
        <v>3</v>
      </c>
      <c r="B14" s="629" t="s">
        <v>343</v>
      </c>
      <c r="C14" s="612" t="str">
        <f>BIBLE!E88</f>
        <v>PFA05a</v>
      </c>
      <c r="D14" s="1218" t="str">
        <f>BIBLE!F88</f>
        <v>L’autre parent laisse entendre à votre enfant que vous souffrez d’une maladie mentale ou que vous êtes instable psychologiquement.</v>
      </c>
      <c r="E14" s="1898">
        <f>Test_Bible!P174</f>
        <v>10</v>
      </c>
      <c r="F14" s="612">
        <f>Test_Bible!D174</f>
        <v>2</v>
      </c>
      <c r="G14" s="630" t="str">
        <f>BIBLE!V87</f>
        <v>Altération ou dévoiement de la réalité</v>
      </c>
      <c r="H14" s="618"/>
      <c r="I14" s="618"/>
      <c r="J14" s="618"/>
      <c r="K14" s="1958"/>
      <c r="L14" s="1958"/>
      <c r="M14" s="618"/>
      <c r="N14" s="1930"/>
      <c r="O14" s="1149" t="str">
        <f>BIBLE!E162</f>
        <v>E06a</v>
      </c>
      <c r="P14" s="1150" t="str">
        <f>BIBLE!F162</f>
        <v>Votre enfant croit que vous souffrez d’une maladie mentale ou que vous êtes instable psychologiquement.</v>
      </c>
      <c r="Q14" s="1901">
        <f>Test_Bible!P279</f>
        <v>0</v>
      </c>
      <c r="R14" s="631">
        <f>Test_Bible!D279</f>
        <v>3</v>
      </c>
      <c r="S14" s="1151" t="str">
        <f>BIBLE!V162</f>
        <v>Altération ou dévoiement de la réalité</v>
      </c>
      <c r="T14" s="1750"/>
      <c r="U14" s="618"/>
      <c r="V14" s="618"/>
      <c r="W14" s="1958"/>
      <c r="X14" s="1958"/>
      <c r="Y14" s="1945"/>
    </row>
    <row r="15" spans="1:25" ht="30" thickBot="1" x14ac:dyDescent="0.4">
      <c r="A15" s="2030"/>
      <c r="B15" s="647"/>
      <c r="C15" s="619"/>
      <c r="D15" s="647"/>
      <c r="E15" s="619"/>
      <c r="F15" s="619"/>
      <c r="G15" s="617"/>
      <c r="H15" s="618"/>
      <c r="I15" s="618"/>
      <c r="J15" s="618"/>
      <c r="K15" s="1958"/>
      <c r="L15" s="1958"/>
      <c r="M15" s="618"/>
      <c r="N15" s="618"/>
      <c r="O15" s="1153"/>
      <c r="P15" s="1152"/>
      <c r="Q15" s="619"/>
      <c r="R15" s="619"/>
      <c r="S15" s="1154"/>
    </row>
    <row r="16" spans="1:25" ht="52" thickBot="1" x14ac:dyDescent="0.4">
      <c r="A16" s="2030">
        <v>4</v>
      </c>
      <c r="B16" s="629" t="s">
        <v>617</v>
      </c>
      <c r="C16" s="631" t="str">
        <f>BIBLE!E87</f>
        <v>PFA05</v>
      </c>
      <c r="D16" s="1219" t="str">
        <f>BIBLE!F87</f>
        <v>L'autre parent laisse entendre à votre enfant qu’il ou elle n’est pas en sécurité avec vous.</v>
      </c>
      <c r="E16" s="1901">
        <f>Test_Bible!P173</f>
        <v>7</v>
      </c>
      <c r="F16" s="631">
        <f>Test_Bible!D173</f>
        <v>2</v>
      </c>
      <c r="G16" s="630" t="str">
        <f>BIBLE!V88</f>
        <v>Altération ou dévoiement de la réalité</v>
      </c>
      <c r="H16" s="1930"/>
      <c r="I16" s="1155" t="str">
        <f>BIBLE!E219</f>
        <v>NC02</v>
      </c>
      <c r="J16" s="1156" t="str">
        <f>BIBLE!F219</f>
        <v>Le nouveau ou nouvelle conjoint·e laisse entendre à votre enfant qu’il ou elle n’est pas en sécurité avec vous.</v>
      </c>
      <c r="K16" s="1968">
        <f>Test_Bible!P406</f>
        <v>7</v>
      </c>
      <c r="L16" s="1967">
        <f>Test_Bible!D406</f>
        <v>2</v>
      </c>
      <c r="M16" s="630" t="str">
        <f>BIBLE!V219</f>
        <v>Altération ou dévoiement de la réalité</v>
      </c>
      <c r="N16" s="1930"/>
      <c r="O16" s="1149" t="str">
        <f>BIBLE!E163</f>
        <v>E06a1</v>
      </c>
      <c r="P16" s="1150" t="str">
        <f>BIBLE!F163</f>
        <v>Arrive-t-il à votre enfant de vous reprocher d'être dangereux·se ou de présenter un danger pour sa sécurité ?</v>
      </c>
      <c r="Q16" s="1901">
        <f>Test_Bible!P280</f>
        <v>0</v>
      </c>
      <c r="R16" s="631">
        <f>Test_Bible!D280</f>
        <v>3</v>
      </c>
      <c r="S16" s="1151" t="str">
        <f>BIBLE!V163</f>
        <v>Altération ou dévoiement de la réalité</v>
      </c>
      <c r="T16" s="1750"/>
      <c r="U16" s="618"/>
      <c r="V16" s="618"/>
      <c r="W16" s="1958"/>
      <c r="X16" s="1958"/>
      <c r="Y16" s="1945"/>
    </row>
    <row r="17" spans="1:25" ht="30" thickBot="1" x14ac:dyDescent="0.4">
      <c r="A17" s="2030"/>
      <c r="B17" s="686"/>
      <c r="C17" s="611"/>
      <c r="D17" s="686"/>
      <c r="E17" s="611"/>
      <c r="F17" s="611"/>
      <c r="G17" s="645"/>
      <c r="I17" s="16"/>
      <c r="J17" s="272"/>
      <c r="K17" s="16"/>
      <c r="L17" s="16"/>
      <c r="M17" s="604"/>
      <c r="O17" s="498"/>
      <c r="P17" s="272"/>
      <c r="Q17" s="16"/>
      <c r="R17" s="16"/>
      <c r="S17" s="1147"/>
    </row>
    <row r="18" spans="1:25" ht="45" x14ac:dyDescent="0.35">
      <c r="A18" s="2030">
        <v>5</v>
      </c>
      <c r="B18" s="623" t="s">
        <v>347</v>
      </c>
      <c r="C18" s="613" t="str">
        <f>BIBLE!E89</f>
        <v>PFA06</v>
      </c>
      <c r="D18" s="1215" t="str">
        <f>BIBLE!F89</f>
        <v>L'autre parent modifie certains faits concernant votre passé à son avantage ou à votre désavantage.</v>
      </c>
      <c r="E18" s="1956">
        <f>Test_Bible!P175</f>
        <v>7</v>
      </c>
      <c r="F18" s="613">
        <f>Test_Bible!D175</f>
        <v>2</v>
      </c>
      <c r="G18" s="651" t="str">
        <f>BIBLE!V89</f>
        <v>Altération ou dévoiement de la réalité</v>
      </c>
      <c r="H18" s="626"/>
      <c r="I18" s="626"/>
      <c r="J18" s="626"/>
      <c r="K18" s="1938"/>
      <c r="L18" s="1938"/>
      <c r="M18" s="626"/>
      <c r="N18" s="1929"/>
      <c r="O18" s="1932" t="str">
        <f>BIBLE!E184</f>
        <v>E22a</v>
      </c>
      <c r="P18" s="1181" t="str">
        <f>BIBLE!F184</f>
        <v>Dans quelle mesure les souvenirs de votre enfant vous semblent-ils être déformés ? (ex.: souvenirs de la petite enfance vus aujourd'hui différement)</v>
      </c>
      <c r="Q18" s="1963">
        <f>Test_Bible!P305</f>
        <v>2</v>
      </c>
      <c r="R18" s="649">
        <f>Test_Bible!D305</f>
        <v>3</v>
      </c>
      <c r="S18" s="1997" t="str">
        <f>BIBLE!V184</f>
        <v>Interférence lien affectif ou symbolique</v>
      </c>
      <c r="T18" s="1746"/>
      <c r="U18" s="626"/>
      <c r="V18" s="626"/>
      <c r="W18" s="1938"/>
      <c r="X18" s="1938"/>
      <c r="Y18" s="1158"/>
    </row>
    <row r="19" spans="1:25" ht="52" thickBot="1" x14ac:dyDescent="0.4">
      <c r="A19" s="2030"/>
      <c r="B19" s="627"/>
      <c r="C19" s="643" t="str">
        <f>BIBLE!E90</f>
        <v>PFA06a</v>
      </c>
      <c r="D19" s="1217" t="str">
        <f>BIBLE!F90</f>
        <v xml:space="preserve">L'autre parent déforme les souvenirs de votre enfant (ex.: souvenirs de la petite enfance vus aujourd'hui négativement). </v>
      </c>
      <c r="E19" s="643">
        <f>Test_Bible!P176</f>
        <v>7</v>
      </c>
      <c r="F19" s="643">
        <f>Test_Bible!D176</f>
        <v>3</v>
      </c>
      <c r="G19" s="644" t="str">
        <f>BIBLE!V90</f>
        <v>Altération ou dévoiement de la réalité</v>
      </c>
      <c r="H19" s="294"/>
      <c r="I19" s="294"/>
      <c r="J19" s="294"/>
      <c r="K19" s="1957"/>
      <c r="L19" s="1957"/>
      <c r="M19" s="294"/>
      <c r="N19" s="294"/>
      <c r="O19" s="294"/>
      <c r="P19" s="294"/>
      <c r="Q19" s="1957"/>
      <c r="R19" s="1957"/>
      <c r="S19" s="295"/>
      <c r="T19" s="293"/>
      <c r="U19" s="294"/>
      <c r="V19" s="294"/>
      <c r="W19" s="1957"/>
      <c r="X19" s="1957"/>
      <c r="Y19" s="295"/>
    </row>
    <row r="20" spans="1:25" ht="30" thickBot="1" x14ac:dyDescent="0.4">
      <c r="A20" s="2030"/>
      <c r="C20" s="16"/>
      <c r="D20" s="25"/>
      <c r="E20" s="16"/>
      <c r="F20" s="16"/>
      <c r="G20" s="604"/>
    </row>
    <row r="21" spans="1:25" ht="68" x14ac:dyDescent="0.35">
      <c r="A21" s="2030">
        <v>6</v>
      </c>
      <c r="B21" s="623" t="s">
        <v>598</v>
      </c>
      <c r="C21" s="613" t="str">
        <f>BIBLE!E91</f>
        <v>PFA07</v>
      </c>
      <c r="D21" s="1215" t="str">
        <f>BIBLE!F91</f>
        <v>L’autre parent culpabilise votre enfant de sa relation ou de son amour pour vous.</v>
      </c>
      <c r="E21" s="1956">
        <f>Test_Bible!P177</f>
        <v>7</v>
      </c>
      <c r="F21" s="613">
        <f>Test_Bible!D177</f>
        <v>1</v>
      </c>
      <c r="G21" s="1160" t="str">
        <f>BIBLE!V91</f>
        <v>Chantage affectif, manipulation</v>
      </c>
      <c r="H21" s="626"/>
      <c r="I21" s="626"/>
      <c r="J21" s="626"/>
      <c r="K21" s="1938"/>
      <c r="L21" s="1938"/>
      <c r="M21" s="626"/>
      <c r="N21" s="1929"/>
      <c r="O21" s="1141" t="str">
        <f>BIBLE!E164</f>
        <v>E07</v>
      </c>
      <c r="P21" s="1142" t="str">
        <f>BIBLE!F164</f>
        <v>Votre enfant se sent coupable de passer du temps avec vous car cela pourrait indisposer, contrarier ou faire de la peine à l'autre parent.</v>
      </c>
      <c r="Q21" s="1981">
        <f>Test_Bible!P281</f>
        <v>7</v>
      </c>
      <c r="R21" s="1980">
        <f>Test_Bible!D281</f>
        <v>1</v>
      </c>
      <c r="S21" s="1161" t="str">
        <f>BIBLE!V164</f>
        <v>Chantage affectif, manipulation</v>
      </c>
      <c r="T21" s="1746"/>
      <c r="U21" s="626"/>
      <c r="V21" s="626"/>
      <c r="W21" s="1938"/>
      <c r="X21" s="1938"/>
      <c r="Y21" s="1158"/>
    </row>
    <row r="22" spans="1:25" ht="34" x14ac:dyDescent="0.35">
      <c r="A22" s="2030"/>
      <c r="B22" s="677"/>
      <c r="C22" s="507" t="str">
        <f>BIBLE!E92</f>
        <v>PFA07a</v>
      </c>
      <c r="D22" s="698" t="str">
        <f>BIBLE!F92</f>
        <v>Il arrive que l’autre parent boude votre enfant lorsqu'il est temps de rentrer chez vous (pour votre tour de garde).</v>
      </c>
      <c r="E22" s="507">
        <f>Test_Bible!P178</f>
        <v>2</v>
      </c>
      <c r="F22" s="507">
        <f>Test_Bible!D178</f>
        <v>2</v>
      </c>
      <c r="G22" s="1162" t="str">
        <f>BIBLE!V92</f>
        <v>Chantage affectif, manipulation</v>
      </c>
      <c r="O22" s="498"/>
      <c r="P22" s="272"/>
      <c r="Q22" s="16"/>
      <c r="R22" s="16"/>
      <c r="S22" s="1163"/>
      <c r="T22" s="122"/>
      <c r="Y22" s="292"/>
    </row>
    <row r="23" spans="1:25" ht="35" thickBot="1" x14ac:dyDescent="0.4">
      <c r="A23" s="2030"/>
      <c r="B23" s="627"/>
      <c r="C23" s="643" t="str">
        <f>BIBLE!E93</f>
        <v>PFA07a1</v>
      </c>
      <c r="D23" s="1217" t="str">
        <f>BIBLE!F93</f>
        <v xml:space="preserve">Il arrive à l’autre parent de se fâcher contre votre enfant lorsqu'il ou elle exprime de l'affection pour vous. </v>
      </c>
      <c r="E23" s="643">
        <f>Test_Bible!P179</f>
        <v>2</v>
      </c>
      <c r="F23" s="643">
        <f>Test_Bible!D179</f>
        <v>3</v>
      </c>
      <c r="G23" s="1164" t="str">
        <f>BIBLE!V93</f>
        <v>Chantage affectif, manipulation</v>
      </c>
      <c r="H23" s="294"/>
      <c r="I23" s="294"/>
      <c r="J23" s="294"/>
      <c r="K23" s="1957"/>
      <c r="L23" s="1957"/>
      <c r="M23" s="294"/>
      <c r="N23" s="294"/>
      <c r="O23" s="636"/>
      <c r="P23" s="1144"/>
      <c r="Q23" s="615"/>
      <c r="R23" s="615"/>
      <c r="S23" s="1165"/>
      <c r="T23" s="293"/>
      <c r="U23" s="294"/>
      <c r="V23" s="294"/>
      <c r="W23" s="1957"/>
      <c r="X23" s="1957"/>
      <c r="Y23" s="295"/>
    </row>
    <row r="24" spans="1:25" ht="30" thickBot="1" x14ac:dyDescent="0.4">
      <c r="A24" s="2030"/>
      <c r="C24" s="16"/>
      <c r="D24" s="25"/>
      <c r="E24" s="16"/>
      <c r="F24" s="16"/>
      <c r="G24" s="1147"/>
    </row>
    <row r="25" spans="1:25" ht="51" x14ac:dyDescent="0.35">
      <c r="A25" s="2030">
        <v>7</v>
      </c>
      <c r="B25" s="623" t="s">
        <v>677</v>
      </c>
      <c r="C25" s="613" t="str">
        <f>BIBLE!E94</f>
        <v>PFA09</v>
      </c>
      <c r="D25" s="1215" t="str">
        <f>BIBLE!F94</f>
        <v>Arrive-t-il que l'autre parent vous accable de reproches par courriel ou texto au retour des enfants (après votre tour de garde) ?</v>
      </c>
      <c r="E25" s="1956">
        <f>Test_Bible!P180</f>
        <v>7</v>
      </c>
      <c r="F25" s="613">
        <f>Test_Bible!D180</f>
        <v>1</v>
      </c>
      <c r="G25" s="1160" t="str">
        <f>BIBLE!V94</f>
        <v>Chantage affectif, manipulation</v>
      </c>
      <c r="H25" s="626"/>
      <c r="I25" s="626"/>
      <c r="J25" s="626"/>
      <c r="K25" s="1938"/>
      <c r="L25" s="1938"/>
      <c r="M25" s="626"/>
      <c r="N25" s="1929"/>
      <c r="O25" s="1141" t="str">
        <f>BIBLE!E191</f>
        <v>E27</v>
      </c>
      <c r="P25" s="1142" t="str">
        <f>BIBLE!F191</f>
        <v>Dans quelle mesure notez-vous un changement au niveau du comportement de votre enfant à son retour de garde ?</v>
      </c>
      <c r="Q25" s="1981">
        <f>Test_Bible!P312</f>
        <v>2</v>
      </c>
      <c r="R25" s="1980">
        <f>Test_Bible!D312</f>
        <v>2</v>
      </c>
      <c r="S25" s="1166" t="str">
        <f>BIBLE!V191</f>
        <v>Rôle actif de l'enfant</v>
      </c>
      <c r="T25" s="1929"/>
      <c r="U25" s="750" t="str">
        <f>BIBLE!E58</f>
        <v>PCR06</v>
      </c>
      <c r="V25" s="1228" t="str">
        <f>BIBLE!F58</f>
        <v xml:space="preserve">Vous faites un retour sur les interventions de l'autre parent (nutrition, hygiène, logistique, etc.) au retour des enfants, par courriel ou message texte. </v>
      </c>
      <c r="W25" s="1993">
        <f>Test_Bible!P126</f>
        <v>2</v>
      </c>
      <c r="X25" s="1992">
        <f>Test_Bible!D126</f>
        <v>1</v>
      </c>
      <c r="Y25" s="635" t="str">
        <f>BIBLE!V58</f>
        <v>Dénigrement</v>
      </c>
    </row>
    <row r="26" spans="1:25" ht="35" thickBot="1" x14ac:dyDescent="0.4">
      <c r="A26" s="2030"/>
      <c r="B26" s="627"/>
      <c r="C26" s="615"/>
      <c r="D26" s="1216"/>
      <c r="E26" s="615"/>
      <c r="F26" s="615"/>
      <c r="G26" s="1167"/>
      <c r="H26" s="294"/>
      <c r="I26" s="294"/>
      <c r="J26" s="294"/>
      <c r="K26" s="1957"/>
      <c r="L26" s="1957"/>
      <c r="M26" s="294"/>
      <c r="N26" s="1931"/>
      <c r="O26" s="1145" t="str">
        <f>BIBLE!E193</f>
        <v>E27a1</v>
      </c>
      <c r="P26" s="628" t="str">
        <f>BIBLE!F193</f>
        <v>Au retour d’un séjour chez l’autre parent, votre enfant vous questionne sur vos décisions présentes ou passsées ou vous accable de reproches.</v>
      </c>
      <c r="Q26" s="1984">
        <f>Test_Bible!P320</f>
        <v>0</v>
      </c>
      <c r="R26" s="643">
        <f>Test_Bible!D320</f>
        <v>3</v>
      </c>
      <c r="S26" s="1168" t="str">
        <f>BIBLE!V193</f>
        <v>Rôle actif de l'enfant</v>
      </c>
      <c r="T26" s="294"/>
      <c r="U26" s="294"/>
      <c r="V26" s="294"/>
      <c r="W26" s="1957"/>
      <c r="X26" s="1957"/>
      <c r="Y26" s="295"/>
    </row>
    <row r="27" spans="1:25" ht="30" thickBot="1" x14ac:dyDescent="0.4">
      <c r="A27" s="2030"/>
      <c r="C27" s="16"/>
      <c r="D27" s="25"/>
      <c r="E27" s="16"/>
      <c r="F27" s="16"/>
      <c r="G27" s="1147"/>
      <c r="I27" s="16"/>
      <c r="J27" s="272"/>
      <c r="K27" s="16"/>
      <c r="L27" s="16"/>
      <c r="M27" s="1147"/>
      <c r="O27" s="498"/>
      <c r="P27" s="272"/>
      <c r="Q27" s="16"/>
      <c r="R27" s="16"/>
      <c r="S27" s="1147"/>
    </row>
    <row r="28" spans="1:25" ht="65" customHeight="1" x14ac:dyDescent="0.35">
      <c r="A28" s="2030">
        <v>8</v>
      </c>
      <c r="B28" s="623" t="s">
        <v>596</v>
      </c>
      <c r="C28" s="613" t="str">
        <f>BIBLE!E96</f>
        <v>PFA10</v>
      </c>
      <c r="D28" s="1215" t="str">
        <f>BIBLE!F96</f>
        <v>L’autre parent vous salue lors de changements de garde, à l'école ou lors d'événements culturels ou sportifs.</v>
      </c>
      <c r="E28" s="1956">
        <f>Test_Bible!P182</f>
        <v>4</v>
      </c>
      <c r="F28" s="613">
        <f>Test_Bible!D182</f>
        <v>1</v>
      </c>
      <c r="G28" s="1160" t="str">
        <f>BIBLE!V96</f>
        <v>Chantage affectif, manipulation</v>
      </c>
      <c r="H28" s="1929"/>
      <c r="I28" s="1169" t="str">
        <f>BIBLE!E220</f>
        <v>NC03</v>
      </c>
      <c r="J28" s="1170" t="str">
        <f>BIBLE!F220</f>
        <v>Le nouveau ou nouvelle conjoint·e vous salue lors de changements de garde, à l'école ou lors d'événements culturels ou sportifs.</v>
      </c>
      <c r="K28" s="1972">
        <f>Test_Bible!P407</f>
        <v>7</v>
      </c>
      <c r="L28" s="1969">
        <f>Test_Bible!D407</f>
        <v>1</v>
      </c>
      <c r="M28" s="1160" t="str">
        <f>BIBLE!V220</f>
        <v>Chantage affectif, manipulation</v>
      </c>
      <c r="N28" s="1929"/>
      <c r="O28" s="1141" t="str">
        <f>BIBLE!E167</f>
        <v>E11</v>
      </c>
      <c r="P28" s="1142" t="str">
        <f>BIBLE!F167</f>
        <v>Votre enfant va vers vous lors d'événements culturels ou sportifs lorsqu'il ou elle est en compagnie (sous la supervision) de l'autre parent ?</v>
      </c>
      <c r="Q28" s="1981">
        <f>Test_Bible!P284</f>
        <v>1</v>
      </c>
      <c r="R28" s="1980">
        <f>Test_Bible!D284</f>
        <v>2</v>
      </c>
      <c r="S28" s="1160" t="str">
        <f>BIBLE!V167</f>
        <v>Chantage affectif, manipulation</v>
      </c>
      <c r="T28" s="817"/>
      <c r="U28" s="1171" t="str">
        <f>BIBLE!E56</f>
        <v>PCR03</v>
      </c>
      <c r="V28" s="1228" t="str">
        <f>BIBLE!F56</f>
        <v xml:space="preserve">Vous saluez ou allez vers l'autre parent lors de changements de garde, à l'école ou lors d'événements culturels ou sportifs. </v>
      </c>
      <c r="W28" s="1993">
        <f>Test_Bible!P124</f>
        <v>1</v>
      </c>
      <c r="X28" s="1992">
        <f>Test_Bible!D124</f>
        <v>1</v>
      </c>
      <c r="Y28" s="666" t="str">
        <f>BIBLE!V56</f>
        <v>Chantage affectif, manipulation</v>
      </c>
    </row>
    <row r="29" spans="1:25" ht="56" customHeight="1" thickBot="1" x14ac:dyDescent="0.4">
      <c r="A29" s="2030"/>
      <c r="B29" s="627"/>
      <c r="C29" s="615"/>
      <c r="D29" s="1216"/>
      <c r="E29" s="615"/>
      <c r="F29" s="615"/>
      <c r="G29" s="1167"/>
      <c r="H29" s="294"/>
      <c r="I29" s="615"/>
      <c r="J29" s="1144"/>
      <c r="K29" s="615"/>
      <c r="L29" s="615"/>
      <c r="M29" s="1167"/>
      <c r="N29" s="1931"/>
      <c r="O29" s="1172" t="str">
        <f>BIBLE!E189</f>
        <v>E26</v>
      </c>
      <c r="P29" s="1173" t="str">
        <f>BIBLE!F189</f>
        <v>Le comportement ou l'attitude de votre enfant change en présence de l’autre parent.</v>
      </c>
      <c r="Q29" s="1985">
        <f>Test_Bible!P310</f>
        <v>7</v>
      </c>
      <c r="R29" s="1425">
        <f>Test_Bible!D310</f>
        <v>2</v>
      </c>
      <c r="S29" s="1168" t="str">
        <f>BIBLE!V189</f>
        <v>Rôle actif de l'enfant</v>
      </c>
      <c r="T29" s="294"/>
      <c r="U29" s="636"/>
      <c r="V29" s="1216"/>
      <c r="W29" s="615"/>
      <c r="X29" s="615"/>
      <c r="Y29" s="637"/>
    </row>
    <row r="30" spans="1:25" ht="30" thickBot="1" x14ac:dyDescent="0.4">
      <c r="A30" s="2030"/>
    </row>
    <row r="31" spans="1:25" ht="51" x14ac:dyDescent="0.35">
      <c r="A31" s="2030">
        <v>9</v>
      </c>
      <c r="B31" s="623" t="s">
        <v>499</v>
      </c>
      <c r="C31" s="613" t="str">
        <f>BIBLE!E100</f>
        <v>PFA13</v>
      </c>
      <c r="D31" s="1215" t="str">
        <f>BIBLE!F100</f>
        <v>L’autre parent vous dénigre en la présence de votre enfant.</v>
      </c>
      <c r="E31" s="1956">
        <f>Test_Bible!P186</f>
        <v>4</v>
      </c>
      <c r="F31" s="613">
        <f>Test_Bible!D186</f>
        <v>1</v>
      </c>
      <c r="G31" s="634" t="str">
        <f>BIBLE!V100</f>
        <v>Dénigrement</v>
      </c>
      <c r="H31" s="1929"/>
      <c r="I31" s="1169" t="str">
        <f>BIBLE!E223</f>
        <v>NC04a1</v>
      </c>
      <c r="J31" s="1226" t="str">
        <f>BIBLE!F223</f>
        <v>Arrive-t-il que le nouveau ou nouvelle conjoint·e vous critique ou dénigre vos compétences parentales devant votre enfant ?</v>
      </c>
      <c r="K31" s="1973">
        <f>Test_Bible!P415</f>
        <v>1</v>
      </c>
      <c r="L31" s="1169">
        <f>Test_Bible!D415</f>
        <v>3</v>
      </c>
      <c r="M31" s="1174" t="str">
        <f>BIBLE!V223</f>
        <v>Dénigrement</v>
      </c>
      <c r="N31" s="1929"/>
      <c r="O31" s="1141" t="str">
        <f>BIBLE!E190</f>
        <v>E12</v>
      </c>
      <c r="P31" s="1142" t="str">
        <f>BIBLE!F190</f>
        <v xml:space="preserve">Est-il déjà arrivé que votre enfant dénigre vos compétences parentales devant l’autre parent ? </v>
      </c>
      <c r="Q31" s="1981">
        <f>Test_Bible!P311</f>
        <v>1</v>
      </c>
      <c r="R31" s="1980">
        <f>Test_Bible!D311</f>
        <v>3</v>
      </c>
      <c r="S31" s="1174" t="str">
        <f>BIBLE!V190</f>
        <v>Dénigrement</v>
      </c>
      <c r="T31" s="1929"/>
      <c r="U31" s="1171" t="str">
        <f>BIBLE!E60</f>
        <v>PCR07</v>
      </c>
      <c r="V31" s="1228" t="str">
        <f>BIBLE!F60</f>
        <v>Il vous arrive de faire des reproches à l'autre parent devant votre enfant.</v>
      </c>
      <c r="W31" s="1993">
        <f>Test_Bible!P134</f>
        <v>2</v>
      </c>
      <c r="X31" s="1992">
        <f>Test_Bible!D134</f>
        <v>1</v>
      </c>
      <c r="Y31" s="635" t="str">
        <f>BIBLE!V60</f>
        <v>Dénigrement</v>
      </c>
    </row>
    <row r="32" spans="1:25" ht="35" thickBot="1" x14ac:dyDescent="0.4">
      <c r="A32" s="2030"/>
      <c r="B32" s="627"/>
      <c r="C32" s="615"/>
      <c r="D32" s="1216"/>
      <c r="E32" s="615"/>
      <c r="F32" s="615"/>
      <c r="G32" s="614"/>
      <c r="H32" s="1931"/>
      <c r="I32" s="1175" t="str">
        <f>BIBLE!E222</f>
        <v>NC04a</v>
      </c>
      <c r="J32" s="1227" t="str">
        <f>BIBLE!F222</f>
        <v>Le nouveau ou nouvelle conjoint·e dénigre vos compétences parentales par texto, courriel ou autres?</v>
      </c>
      <c r="K32" s="1974">
        <f>Test_Bible!P414</f>
        <v>4</v>
      </c>
      <c r="L32" s="1175">
        <f>Test_Bible!D414</f>
        <v>3</v>
      </c>
      <c r="M32" s="1177" t="str">
        <f>BIBLE!V222</f>
        <v>Dénigrement</v>
      </c>
      <c r="N32" s="294"/>
      <c r="O32" s="636"/>
      <c r="P32" s="1144"/>
      <c r="Q32" s="615"/>
      <c r="R32" s="615"/>
      <c r="S32" s="1167"/>
      <c r="T32" s="294"/>
      <c r="U32" s="636"/>
      <c r="V32" s="1216"/>
      <c r="W32" s="615"/>
      <c r="X32" s="615"/>
      <c r="Y32" s="637"/>
    </row>
    <row r="33" spans="1:25" ht="18" customHeight="1" thickBot="1" x14ac:dyDescent="0.4">
      <c r="A33" s="2030"/>
      <c r="C33" s="16"/>
      <c r="D33" s="25"/>
      <c r="E33" s="16"/>
      <c r="F33" s="16"/>
      <c r="G33" s="604"/>
      <c r="I33" s="16"/>
      <c r="J33" s="272"/>
      <c r="K33" s="16"/>
      <c r="L33" s="16"/>
      <c r="M33" s="1147"/>
      <c r="O33" s="498"/>
      <c r="P33" s="272"/>
      <c r="Q33" s="16"/>
      <c r="R33" s="16"/>
      <c r="S33" s="1147"/>
      <c r="U33" s="498"/>
      <c r="V33" s="25"/>
      <c r="W33" s="16"/>
      <c r="X33" s="16"/>
      <c r="Y33" s="605"/>
    </row>
    <row r="34" spans="1:25" ht="64" customHeight="1" x14ac:dyDescent="0.35">
      <c r="A34" s="2030">
        <v>10</v>
      </c>
      <c r="B34" s="623" t="s">
        <v>618</v>
      </c>
      <c r="C34" s="613" t="str">
        <f>BIBLE!E104</f>
        <v>PFA14</v>
      </c>
      <c r="D34" s="1215" t="str">
        <f>BIBLE!F104</f>
        <v>L’autre parent dénigre votre nouvelle famille devant votre enfant. (dénigrement de votre nouveau ou nouvelle conjoint·e ou enfant né·e d’une nouvelle union)</v>
      </c>
      <c r="E34" s="1956">
        <f>Test_Bible!P190</f>
        <v>0</v>
      </c>
      <c r="F34" s="613">
        <f>Test_Bible!D190</f>
        <v>1</v>
      </c>
      <c r="G34" s="634" t="str">
        <f>BIBLE!V104</f>
        <v>Dénigrement</v>
      </c>
      <c r="H34" s="1929"/>
      <c r="I34" s="1169" t="str">
        <f>BIBLE!E224</f>
        <v>NC04b</v>
      </c>
      <c r="J34" s="1226" t="str">
        <f>BIBLE!F224</f>
        <v xml:space="preserve">Arrive-t-il que le nouveau ou nouvelle conjoint·e dénigre votre famille devant votre enfant ? </v>
      </c>
      <c r="K34" s="1973">
        <f>Test_Bible!P416</f>
        <v>0</v>
      </c>
      <c r="L34" s="1169">
        <f>Test_Bible!D416</f>
        <v>3</v>
      </c>
      <c r="M34" s="1174" t="str">
        <f>BIBLE!V224</f>
        <v>Dénigrement</v>
      </c>
      <c r="N34" s="1929"/>
      <c r="O34" s="1141" t="str">
        <f>BIBLE!E168</f>
        <v>E13</v>
      </c>
      <c r="P34" s="1142" t="str">
        <f>BIBLE!F168</f>
        <v>Votre enfant dénigre votre nouvelle famille (nouveau ou nouvelle conjoint·e ou enfant né·e d’une nouvelle union).</v>
      </c>
      <c r="Q34" s="1981">
        <f>Test_Bible!P285</f>
        <v>0</v>
      </c>
      <c r="R34" s="1980">
        <f>Test_Bible!D285</f>
        <v>2</v>
      </c>
      <c r="S34" s="1174" t="str">
        <f>BIBLE!V168</f>
        <v>Dénigrement</v>
      </c>
      <c r="T34" s="1746"/>
      <c r="U34" s="626"/>
      <c r="V34" s="626"/>
      <c r="W34" s="1938"/>
      <c r="X34" s="1938"/>
      <c r="Y34" s="1158"/>
    </row>
    <row r="35" spans="1:25" ht="64" customHeight="1" thickBot="1" x14ac:dyDescent="0.4">
      <c r="A35" s="2030"/>
      <c r="B35" s="627"/>
      <c r="C35" s="684" t="str">
        <f>BIBLE!E143</f>
        <v>PFA33</v>
      </c>
      <c r="D35" s="1220" t="str">
        <f>BIBLE!F143</f>
        <v>L'autre parent encourage ou entretient un discours dénigrant ou haineux à l’égard de votre nouveau ou nouvelle conjoint·e.</v>
      </c>
      <c r="E35" s="1962">
        <f>Test_Bible!P247</f>
        <v>0</v>
      </c>
      <c r="F35" s="684">
        <f>Test_Bible!D247</f>
        <v>2</v>
      </c>
      <c r="G35" s="685" t="str">
        <f>BIBLE!V143</f>
        <v>Rôle actif de l'enfant</v>
      </c>
      <c r="H35" s="294"/>
      <c r="I35" s="615"/>
      <c r="J35" s="1144"/>
      <c r="K35" s="615"/>
      <c r="L35" s="615"/>
      <c r="M35" s="1167"/>
      <c r="N35" s="294"/>
      <c r="O35" s="636"/>
      <c r="P35" s="1144"/>
      <c r="Q35" s="615"/>
      <c r="R35" s="615"/>
      <c r="S35" s="1167"/>
      <c r="T35" s="293"/>
      <c r="U35" s="294"/>
      <c r="V35" s="294"/>
      <c r="W35" s="1957"/>
      <c r="X35" s="1957"/>
      <c r="Y35" s="295"/>
    </row>
    <row r="36" spans="1:25" ht="17" customHeight="1" thickBot="1" x14ac:dyDescent="0.4">
      <c r="A36" s="2030"/>
      <c r="C36" s="16"/>
      <c r="D36" s="25"/>
      <c r="E36" s="16"/>
      <c r="F36" s="16"/>
      <c r="G36" s="604"/>
      <c r="I36" s="16"/>
      <c r="J36" s="272"/>
      <c r="K36" s="16"/>
      <c r="L36" s="16"/>
      <c r="M36" s="1147"/>
      <c r="O36" s="498"/>
      <c r="P36" s="272"/>
      <c r="Q36" s="16"/>
      <c r="R36" s="16"/>
      <c r="S36" s="1147"/>
    </row>
    <row r="37" spans="1:25" ht="67" customHeight="1" thickBot="1" x14ac:dyDescent="0.4">
      <c r="A37" s="2030">
        <v>11</v>
      </c>
      <c r="B37" s="623" t="s">
        <v>999</v>
      </c>
      <c r="C37" s="612" t="str">
        <f>BIBLE!E105</f>
        <v>PFA15</v>
      </c>
      <c r="D37" s="1218" t="str">
        <f>BIBLE!F105</f>
        <v>L'autre parent laisse entendre qu'il ou elle représente la vraie famille de votre enfant.</v>
      </c>
      <c r="E37" s="1956">
        <f>Test_Bible!P191</f>
        <v>2</v>
      </c>
      <c r="F37" s="613">
        <f>Test_Bible!D191</f>
        <v>2</v>
      </c>
      <c r="G37" s="634" t="str">
        <f>BIBLE!V105</f>
        <v>Dénigrement</v>
      </c>
      <c r="H37" s="626"/>
      <c r="I37" s="626"/>
      <c r="J37" s="626"/>
      <c r="K37" s="1938"/>
      <c r="L37" s="1938"/>
      <c r="M37" s="626"/>
      <c r="N37" s="1929"/>
      <c r="O37" s="1141" t="str">
        <f>BIBLE!E169</f>
        <v>E14</v>
      </c>
      <c r="P37" s="1142" t="str">
        <f>BIBLE!F169</f>
        <v>Votre enfant laisse entendre que sa vraie famille est celle avec l’autre parent.</v>
      </c>
      <c r="Q37" s="1981">
        <f>Test_Bible!P286</f>
        <v>7</v>
      </c>
      <c r="R37" s="1980">
        <f>Test_Bible!D286</f>
        <v>2</v>
      </c>
      <c r="S37" s="1174" t="str">
        <f>BIBLE!V169</f>
        <v>Dénigrement</v>
      </c>
      <c r="T37" s="1746"/>
      <c r="U37" s="626"/>
      <c r="V37" s="626"/>
      <c r="W37" s="1938"/>
      <c r="X37" s="1938"/>
      <c r="Y37" s="1158"/>
    </row>
    <row r="38" spans="1:25" ht="61" customHeight="1" thickBot="1" x14ac:dyDescent="0.4">
      <c r="A38" s="2030"/>
      <c r="B38" s="627"/>
      <c r="C38" s="294"/>
      <c r="D38" s="294"/>
      <c r="E38" s="1957"/>
      <c r="F38" s="1957"/>
      <c r="G38" s="294"/>
      <c r="H38" s="294"/>
      <c r="I38" s="294"/>
      <c r="J38" s="294"/>
      <c r="K38" s="1957"/>
      <c r="L38" s="1957"/>
      <c r="M38" s="294"/>
      <c r="N38" s="1931"/>
      <c r="O38" s="1159" t="str">
        <f>BIBLE!E170</f>
        <v>E14a</v>
      </c>
      <c r="P38" s="628" t="str">
        <f>BIBLE!F170</f>
        <v xml:space="preserve">Selon votre enfant, la nouvelle famille de l'autre parent (famille recomposée ou non) a plus de valeur que la vôtre. </v>
      </c>
      <c r="Q38" s="643">
        <f>Test_Bible!P287</f>
        <v>2</v>
      </c>
      <c r="R38" s="643">
        <f>Test_Bible!D287</f>
        <v>3</v>
      </c>
      <c r="S38" s="1177" t="str">
        <f>BIBLE!V170</f>
        <v>Dénigrement</v>
      </c>
      <c r="T38" s="293"/>
      <c r="U38" s="294"/>
      <c r="V38" s="294"/>
      <c r="W38" s="1957"/>
      <c r="X38" s="1957"/>
      <c r="Y38" s="295"/>
    </row>
    <row r="39" spans="1:25" ht="15" customHeight="1" thickBot="1" x14ac:dyDescent="0.4">
      <c r="A39" s="2031"/>
      <c r="O39" s="498"/>
      <c r="P39" s="272"/>
      <c r="Q39" s="16"/>
      <c r="R39" s="16"/>
      <c r="S39" s="1147"/>
    </row>
    <row r="40" spans="1:25" ht="61" customHeight="1" x14ac:dyDescent="0.35">
      <c r="A40" s="2030">
        <v>12</v>
      </c>
      <c r="B40" s="623" t="s">
        <v>1000</v>
      </c>
      <c r="C40" s="613" t="str">
        <f>BIBLE!E106</f>
        <v>PFA15a</v>
      </c>
      <c r="D40" s="1215" t="str">
        <f>BIBLE!F106</f>
        <v>L'autre parent demande à votre enfant d'appeler son nouveau ou nouvelle conjoint·e maman ou papa.</v>
      </c>
      <c r="E40" s="1956">
        <f>Test_Bible!P192</f>
        <v>0</v>
      </c>
      <c r="F40" s="613">
        <f>Test_Bible!D192</f>
        <v>3</v>
      </c>
      <c r="G40" s="634" t="str">
        <f>BIBLE!V106</f>
        <v>Dénigrement</v>
      </c>
      <c r="H40" s="1929"/>
      <c r="I40" s="1169" t="str">
        <f>BIBLE!E232</f>
        <v>NC14</v>
      </c>
      <c r="J40" s="1170" t="str">
        <f>BIBLE!F232</f>
        <v>Le nouveau ou nouvelle conjoint·e demande à votre enfant de l'appeler maman ou papa.</v>
      </c>
      <c r="K40" s="1972">
        <f>Test_Bible!P424</f>
        <v>2</v>
      </c>
      <c r="L40" s="1969">
        <f>Test_Bible!D424</f>
        <v>2</v>
      </c>
      <c r="M40" s="1194" t="str">
        <f>BIBLE!V232</f>
        <v>Interférence lien affectif ou symbolique</v>
      </c>
      <c r="N40" s="1929"/>
      <c r="O40" s="1141" t="str">
        <f>BIBLE!E179</f>
        <v>E20</v>
      </c>
      <c r="P40" s="1142" t="str">
        <f>BIBLE!F179</f>
        <v>Votre enfant considère le nouveau ou nouvelle conjoint·e (de l'autre parent) comme son père ou sa mère.</v>
      </c>
      <c r="Q40" s="1981">
        <f>Test_Bible!P300</f>
        <v>1</v>
      </c>
      <c r="R40" s="1980">
        <f>Test_Bible!D301</f>
        <v>3</v>
      </c>
      <c r="S40" s="1194" t="str">
        <f>BIBLE!V179</f>
        <v>Interférence lien affectif ou symbolique</v>
      </c>
      <c r="T40" s="1746"/>
      <c r="U40" s="626"/>
      <c r="V40" s="626"/>
      <c r="W40" s="1938"/>
      <c r="X40" s="1938"/>
      <c r="Y40" s="1158"/>
    </row>
    <row r="41" spans="1:25" ht="61" customHeight="1" thickBot="1" x14ac:dyDescent="0.4">
      <c r="A41" s="2031"/>
      <c r="B41" s="627"/>
      <c r="C41" s="615"/>
      <c r="D41" s="1216"/>
      <c r="E41" s="615"/>
      <c r="F41" s="615"/>
      <c r="G41" s="614"/>
      <c r="H41" s="294"/>
      <c r="I41" s="615"/>
      <c r="J41" s="1144"/>
      <c r="K41" s="615"/>
      <c r="L41" s="615"/>
      <c r="M41" s="1167"/>
      <c r="N41" s="1931"/>
      <c r="O41" s="1172" t="str">
        <f>BIBLE!E180</f>
        <v>E20a</v>
      </c>
      <c r="P41" s="1173" t="str">
        <f>BIBLE!F180</f>
        <v>Dans quelle mesure la présence du nouveau ou nouvelle conjoint·e apporte-t-elle chez votre enfant une confusion au niveau des rôles parentaux ?</v>
      </c>
      <c r="Q41" s="1425">
        <f>Test_Bible!P301</f>
        <v>0</v>
      </c>
      <c r="R41" s="1425">
        <f>Test_Bible!D302</f>
        <v>1</v>
      </c>
      <c r="S41" s="1193" t="str">
        <f>BIBLE!V180</f>
        <v>Interférence lien affectif ou symbolique</v>
      </c>
      <c r="T41" s="293"/>
      <c r="U41" s="294"/>
      <c r="V41" s="294"/>
      <c r="W41" s="1957"/>
      <c r="X41" s="1957"/>
      <c r="Y41" s="295"/>
    </row>
    <row r="42" spans="1:25" ht="19" customHeight="1" thickBot="1" x14ac:dyDescent="0.25">
      <c r="A42" s="2032"/>
      <c r="C42" s="16"/>
      <c r="D42" s="25"/>
      <c r="E42" s="16"/>
      <c r="F42" s="16"/>
      <c r="G42" s="604"/>
      <c r="I42" s="16"/>
      <c r="J42" s="272"/>
      <c r="K42" s="16"/>
      <c r="L42" s="16"/>
      <c r="M42" s="1147"/>
      <c r="O42" s="498"/>
      <c r="P42" s="272"/>
      <c r="Q42" s="16"/>
      <c r="R42" s="16"/>
      <c r="S42" s="1147"/>
    </row>
    <row r="43" spans="1:25" ht="51" x14ac:dyDescent="0.2">
      <c r="A43" s="2033">
        <v>13</v>
      </c>
      <c r="B43" s="2002" t="s">
        <v>501</v>
      </c>
      <c r="C43" s="2003" t="str">
        <f>BIBLE!E107</f>
        <v>PFA16</v>
      </c>
      <c r="D43" s="2004" t="str">
        <f>BIBLE!F107</f>
        <v>L'autre parent impose des changements d’horaires sans vous consulter au préalable et sans votre autorisation.</v>
      </c>
      <c r="E43" s="2005">
        <f>Test_Bible!P193</f>
        <v>7</v>
      </c>
      <c r="F43" s="2003">
        <f>Test_Bible!D193</f>
        <v>2</v>
      </c>
      <c r="G43" s="2006" t="str">
        <f>BIBLE!V107</f>
        <v>Interférence temps et/ou communication</v>
      </c>
      <c r="H43" s="2007"/>
      <c r="I43" s="2008" t="str">
        <f>BIBLE!E225</f>
        <v>NC07</v>
      </c>
      <c r="J43" s="2009" t="str">
        <f>BIBLE!F225</f>
        <v xml:space="preserve">Le nouveau ou nouvelle conjoint·e apporte des changements à l’horaire de garde sans vous consulter au préalable ou sans votre autorisation. </v>
      </c>
      <c r="K43" s="2010">
        <f>Test_Bible!P417</f>
        <v>4</v>
      </c>
      <c r="L43" s="2011">
        <f>Test_Bible!D417</f>
        <v>2</v>
      </c>
      <c r="M43" s="2006" t="str">
        <f>BIBLE!V225</f>
        <v>Interférence temps et/ou communication</v>
      </c>
      <c r="N43" s="2007"/>
      <c r="O43" s="2012" t="str">
        <f>BIBLE!E173</f>
        <v>E16</v>
      </c>
      <c r="P43" s="2013" t="str">
        <f>BIBLE!F173</f>
        <v>Votre enfant demande à modifier les horaires de garde et de visite.</v>
      </c>
      <c r="Q43" s="2014">
        <f>Test_Bible!P290</f>
        <v>2</v>
      </c>
      <c r="R43" s="2015">
        <f>Test_Bible!D290</f>
        <v>2</v>
      </c>
      <c r="S43" s="2094" t="str">
        <f>BIBLE!V173</f>
        <v>Interférence temps ou communication</v>
      </c>
      <c r="T43" s="1746"/>
      <c r="U43" s="626"/>
      <c r="V43" s="626"/>
      <c r="W43" s="1938"/>
      <c r="X43" s="1938"/>
      <c r="Y43" s="1158"/>
    </row>
    <row r="44" spans="1:25" ht="52" thickBot="1" x14ac:dyDescent="0.25">
      <c r="A44" s="2032"/>
      <c r="B44" s="2016"/>
      <c r="C44" s="2017" t="str">
        <f>BIBLE!E108</f>
        <v>PFA16a</v>
      </c>
      <c r="D44" s="2018" t="str">
        <f>BIBLE!F108</f>
        <v>Arrive-t-il que l'autre parent ramène votre enfant à la maison à l'heure qui lui convient, sans respecter l'entente initiale ?</v>
      </c>
      <c r="E44" s="2017">
        <f>Test_Bible!P194</f>
        <v>4</v>
      </c>
      <c r="F44" s="2017">
        <f>Test_Bible!D194</f>
        <v>2</v>
      </c>
      <c r="G44" s="2019" t="str">
        <f>BIBLE!V108</f>
        <v>Interférence temps et/ou communication</v>
      </c>
      <c r="H44" s="51"/>
      <c r="I44" s="1763"/>
      <c r="J44" s="2020"/>
      <c r="K44" s="1763"/>
      <c r="L44" s="1763"/>
      <c r="M44" s="2021"/>
      <c r="N44" s="2022"/>
      <c r="O44" s="2023" t="str">
        <f>BIBLE!E175</f>
        <v>E16a1</v>
      </c>
      <c r="P44" s="2024" t="str">
        <f>BIBLE!F175</f>
        <v>Dans quelle mesure votre enfant impose-t-il ou elle des changements d’horaires et de visite à la faveur de l'autre parent sans vous consulter au préalable et sans votre autorisation ?</v>
      </c>
      <c r="Q44" s="2025">
        <f>Test_Bible!P296</f>
        <v>0</v>
      </c>
      <c r="R44" s="2017">
        <f>Test_Bible!D296</f>
        <v>3</v>
      </c>
      <c r="S44" s="2095" t="str">
        <f>BIBLE!V175</f>
        <v>Interférence temps ou communication</v>
      </c>
      <c r="T44" s="293"/>
      <c r="U44" s="294"/>
      <c r="V44" s="294"/>
      <c r="W44" s="1957"/>
      <c r="X44" s="1957"/>
      <c r="Y44" s="295"/>
    </row>
    <row r="45" spans="1:25" ht="17" customHeight="1" thickBot="1" x14ac:dyDescent="0.4">
      <c r="A45" s="2031"/>
    </row>
    <row r="46" spans="1:25" ht="51" x14ac:dyDescent="0.35">
      <c r="A46" s="2030">
        <v>14</v>
      </c>
      <c r="B46" s="623" t="s">
        <v>1001</v>
      </c>
      <c r="C46" s="649" t="str">
        <f>BIBLE!E109</f>
        <v>PFA16b</v>
      </c>
      <c r="D46" s="1221" t="str">
        <f>BIBLE!F109</f>
        <v>Arrive-t-il que l’autre parent organise et propose des activités à votre enfant sur votre temps de garde ?</v>
      </c>
      <c r="E46" s="1963">
        <f>Test_Bible!P195</f>
        <v>7</v>
      </c>
      <c r="F46" s="649">
        <f>Test_Bible!D195</f>
        <v>2</v>
      </c>
      <c r="G46" s="638" t="str">
        <f>BIBLE!V109</f>
        <v>Interférence temps et/ou communication</v>
      </c>
      <c r="H46" s="1929"/>
      <c r="I46" s="1169" t="str">
        <f>BIBLE!E226</f>
        <v>NC07a</v>
      </c>
      <c r="J46" s="1170" t="str">
        <f>BIBLE!F226</f>
        <v xml:space="preserve">Arrive-t-il que le nouveau ou nouvelle conjoint·e organise des activités sur votre temps de garde ? </v>
      </c>
      <c r="K46" s="1972">
        <f>Test_Bible!P418</f>
        <v>4</v>
      </c>
      <c r="L46" s="1969">
        <f>Test_Bible!D418</f>
        <v>2</v>
      </c>
      <c r="M46" s="638" t="str">
        <f>BIBLE!V226</f>
        <v>Interférence temps et/ou communication</v>
      </c>
      <c r="N46" s="1929"/>
      <c r="O46" s="1182" t="str">
        <f>BIBLE!E176</f>
        <v>E16a2</v>
      </c>
      <c r="P46" s="1181" t="str">
        <f>BIBLE!F176</f>
        <v>Arrive-t-il à votre enfant de changer d’idée concernant une activité prévue à l’horaire avec vous ?  D’abord enthousiaste, votre enfant trouve subitement (dernière minute) des excuses pour ne pas participer à l’activité ?</v>
      </c>
      <c r="Q46" s="1963">
        <f>Test_Bible!P297</f>
        <v>2</v>
      </c>
      <c r="R46" s="649">
        <f>Test_Bible!D297</f>
        <v>3</v>
      </c>
      <c r="S46" s="1183" t="str">
        <f>BIBLE!V176</f>
        <v>Interférence temps ou communication</v>
      </c>
      <c r="T46" s="1746"/>
      <c r="U46" s="626"/>
      <c r="V46" s="626"/>
      <c r="W46" s="1938"/>
      <c r="X46" s="1938"/>
      <c r="Y46" s="1158"/>
    </row>
    <row r="47" spans="1:25" ht="52" thickBot="1" x14ac:dyDescent="0.4">
      <c r="A47" s="2031"/>
      <c r="B47" s="627"/>
      <c r="C47" s="643" t="str">
        <f>BIBLE!E110</f>
        <v>PFA16b1</v>
      </c>
      <c r="D47" s="1217" t="str">
        <f>BIBLE!F110</f>
        <v>Arrive-t-il que l’autre parent organise et propose des activités amusantes, voire irrésistibles à votre enfant durant votre temps de garde ?</v>
      </c>
      <c r="E47" s="643">
        <f>Test_Bible!P196</f>
        <v>7</v>
      </c>
      <c r="F47" s="643">
        <f>Test_Bible!D196</f>
        <v>3</v>
      </c>
      <c r="G47" s="648" t="str">
        <f>BIBLE!V110</f>
        <v>Interférence temps et/ou communication</v>
      </c>
      <c r="H47" s="294"/>
      <c r="I47" s="294"/>
      <c r="J47" s="294"/>
      <c r="K47" s="1957"/>
      <c r="L47" s="1957"/>
      <c r="M47" s="294"/>
      <c r="N47" s="1931"/>
      <c r="O47" s="1145" t="str">
        <f>BIBLE!E177</f>
        <v>E16a3</v>
      </c>
      <c r="P47" s="628" t="str">
        <f>BIBLE!F177</f>
        <v>Votre enfant subit une pression pour passer plus de temps chez l'autre parent.</v>
      </c>
      <c r="Q47" s="643">
        <f>Test_Bible!P298</f>
        <v>7</v>
      </c>
      <c r="R47" s="643">
        <f>Test_Bible!D298</f>
        <v>3</v>
      </c>
      <c r="S47" s="1184" t="str">
        <f>BIBLE!V177</f>
        <v>Interférence temps ou communication</v>
      </c>
      <c r="T47" s="293"/>
      <c r="U47" s="294"/>
      <c r="V47" s="294"/>
      <c r="W47" s="1957"/>
      <c r="X47" s="1957"/>
      <c r="Y47" s="295"/>
    </row>
    <row r="48" spans="1:25" ht="17" customHeight="1" thickBot="1" x14ac:dyDescent="0.4">
      <c r="A48" s="2031"/>
      <c r="C48" s="16"/>
      <c r="D48" s="25"/>
      <c r="E48" s="16"/>
      <c r="F48" s="16"/>
      <c r="G48" s="604"/>
      <c r="I48" s="16"/>
      <c r="J48" s="272"/>
      <c r="K48" s="16"/>
      <c r="L48" s="16"/>
      <c r="M48" s="604"/>
      <c r="U48" s="8"/>
      <c r="V48" s="25"/>
      <c r="W48" s="16"/>
      <c r="X48" s="16"/>
      <c r="Y48" s="605"/>
    </row>
    <row r="49" spans="1:25" ht="64" customHeight="1" thickBot="1" x14ac:dyDescent="0.4">
      <c r="A49" s="2030">
        <v>15</v>
      </c>
      <c r="B49" s="629" t="s">
        <v>500</v>
      </c>
      <c r="C49" s="612" t="str">
        <f>BIBLE!E112</f>
        <v>PFA18</v>
      </c>
      <c r="D49" s="1218" t="str">
        <f>BIBLE!F112</f>
        <v>À quelle fréquence l’autre parent communique-t-il ou elle avec votre enfant durant votre temps de garde ? (tél., textos, réseaux sociaux, etc.)</v>
      </c>
      <c r="E49" s="1898">
        <f>Test_Bible!P198</f>
        <v>7</v>
      </c>
      <c r="F49" s="612">
        <f>Test_Bible!D198</f>
        <v>1</v>
      </c>
      <c r="G49" s="650" t="str">
        <f>BIBLE!V112</f>
        <v>Interférence temps et/ou communication</v>
      </c>
      <c r="H49" s="1930"/>
      <c r="I49" s="1155" t="str">
        <f>BIBLE!E230</f>
        <v>NC12</v>
      </c>
      <c r="J49" s="1156" t="str">
        <f>BIBLE!F230</f>
        <v>À quelle fréquence le nouveau ou nouvelle conjoint·e communique-t-il ou elle avec votre enfant durant votre temps de garde ?</v>
      </c>
      <c r="K49" s="1968">
        <f>Test_Bible!P422</f>
        <v>7</v>
      </c>
      <c r="L49" s="1967">
        <f>Test_Bible!D422</f>
        <v>3</v>
      </c>
      <c r="M49" s="650" t="str">
        <f>BIBLE!V230</f>
        <v>Interférence temps et/ou communication</v>
      </c>
      <c r="N49" s="1930"/>
      <c r="O49" s="1178" t="str">
        <f>BIBLE!E194</f>
        <v>E28</v>
      </c>
      <c r="P49" s="1179" t="str">
        <f>BIBLE!F194</f>
        <v>Votre enfant s'isole ou se cache (ex.: chambre ou toilettes) pour appeler l'autre parent afin qu'on n'entende pas ses conversations.</v>
      </c>
      <c r="Q49" s="1986">
        <f>Test_Bible!P321</f>
        <v>2</v>
      </c>
      <c r="R49" s="1982">
        <f>Test_Bible!D321</f>
        <v>2</v>
      </c>
      <c r="S49" s="1185" t="str">
        <f>BIBLE!V194</f>
        <v>Rôle actif de l'enfant</v>
      </c>
      <c r="T49" s="1930"/>
      <c r="U49" s="1186" t="str">
        <f>BIBLE!E61</f>
        <v>PCR08</v>
      </c>
      <c r="V49" s="1230" t="str">
        <f>BIBLE!F61</f>
        <v>À quelle fréquence communiquez-vous avec votre enfant lorsqu’il ou elle est chez l‘autre parent ?</v>
      </c>
      <c r="W49" s="1904">
        <f>Test_Bible!P135</f>
        <v>4</v>
      </c>
      <c r="X49" s="1667">
        <f>Test_Bible!D135</f>
        <v>3</v>
      </c>
      <c r="Y49" s="668" t="str">
        <f>BIBLE!V61</f>
        <v>Interférence temps et/ou communication</v>
      </c>
    </row>
    <row r="50" spans="1:25" ht="17" customHeight="1" thickBot="1" x14ac:dyDescent="0.4">
      <c r="A50" s="2031"/>
    </row>
    <row r="51" spans="1:25" ht="45" x14ac:dyDescent="0.35">
      <c r="A51" s="2030">
        <v>16</v>
      </c>
      <c r="B51" s="623" t="s">
        <v>593</v>
      </c>
      <c r="C51" s="613" t="str">
        <f>BIBLE!E115</f>
        <v>PFA20</v>
      </c>
      <c r="D51" s="1215" t="str">
        <f>BIBLE!F115</f>
        <v>Il est facile de communiquer avec votre enfant lorsqu’il est chez l’autre parent.</v>
      </c>
      <c r="E51" s="1956">
        <f>Test_Bible!P201</f>
        <v>10</v>
      </c>
      <c r="F51" s="613">
        <f>Test_Bible!D201</f>
        <v>1</v>
      </c>
      <c r="G51" s="638" t="str">
        <f>BIBLE!V115</f>
        <v>Interférence temps et/ou communication</v>
      </c>
      <c r="H51" s="626"/>
      <c r="I51" s="626"/>
      <c r="J51" s="626"/>
      <c r="K51" s="1938"/>
      <c r="L51" s="1938"/>
      <c r="M51" s="626"/>
      <c r="N51" s="1929"/>
      <c r="O51" s="1141" t="str">
        <f>BIBLE!E178</f>
        <v>E18</v>
      </c>
      <c r="P51" s="1142" t="str">
        <f>BIBLE!F178</f>
        <v>Votre enfant répond à vos messages lorsqu’il est chez l’autre parent (tél., textos, réseaux sociaux, etc.).</v>
      </c>
      <c r="Q51" s="1981">
        <f>Test_Bible!P299</f>
        <v>2</v>
      </c>
      <c r="R51" s="1980">
        <f>Test_Bible!D299</f>
        <v>2</v>
      </c>
      <c r="S51" s="1183" t="str">
        <f>BIBLE!V178</f>
        <v>Interférence temps ou communication</v>
      </c>
      <c r="T51" s="1746"/>
      <c r="U51" s="626"/>
      <c r="V51" s="626"/>
      <c r="W51" s="1938"/>
      <c r="X51" s="1938"/>
      <c r="Y51" s="1158"/>
    </row>
    <row r="52" spans="1:25" ht="73" customHeight="1" thickBot="1" x14ac:dyDescent="0.4">
      <c r="A52" s="2031"/>
      <c r="B52" s="627"/>
      <c r="C52" s="643" t="str">
        <f>BIBLE!E116</f>
        <v>PFA20a</v>
      </c>
      <c r="D52" s="1217" t="str">
        <f>BIBLE!F116</f>
        <v>Arrive-t-il que l'autre parent contrôle, écoute ou écourte vos conversations téléphoniques avec votre enfant (lors de son tour de garde) ?</v>
      </c>
      <c r="E52" s="643">
        <f>Test_Bible!P202</f>
        <v>7</v>
      </c>
      <c r="F52" s="643">
        <f>Test_Bible!D202</f>
        <v>2</v>
      </c>
      <c r="G52" s="648" t="str">
        <f>BIBLE!V116</f>
        <v>Interférence temps et/ou communication</v>
      </c>
      <c r="H52" s="1931"/>
      <c r="I52" s="1175" t="str">
        <f>BIBLE!E228</f>
        <v>NC10</v>
      </c>
      <c r="J52" s="1176" t="str">
        <f>BIBLE!F228</f>
        <v>Arrive-t-il que le nouveau ou nouvelle conjoint·e interfère, écoute ou écourte vos conversations téléphoniques avec votre enfant ?</v>
      </c>
      <c r="K52" s="1975">
        <f>Test_Bible!P420</f>
        <v>7</v>
      </c>
      <c r="L52" s="1970">
        <f>Test_Bible!D420</f>
        <v>2</v>
      </c>
      <c r="M52" s="1971" t="str">
        <f>BIBLE!V228</f>
        <v>Interférence temps et/ou communication</v>
      </c>
      <c r="N52" s="1931"/>
      <c r="O52" s="1424" t="str">
        <f>BIBLE!E202</f>
        <v>E34</v>
      </c>
      <c r="P52" s="1173" t="str">
        <f>BIBLE!F202</f>
        <v xml:space="preserve">Votre enfant bloque les communications (tél., textos, réseaux sociaux, etc.). </v>
      </c>
      <c r="Q52" s="1985">
        <f>Test_Bible!P329</f>
        <v>2</v>
      </c>
      <c r="R52" s="1425">
        <f>Test_Bible!D329</f>
        <v>3</v>
      </c>
      <c r="S52" s="1950" t="str">
        <f>BIBLE!V202</f>
        <v>Rôle actif de l'enfant</v>
      </c>
      <c r="T52" s="293"/>
      <c r="U52" s="294"/>
      <c r="V52" s="294"/>
      <c r="W52" s="1957"/>
      <c r="X52" s="1957"/>
      <c r="Y52" s="295"/>
    </row>
    <row r="53" spans="1:25" ht="17" customHeight="1" thickBot="1" x14ac:dyDescent="0.4">
      <c r="A53" s="2031"/>
      <c r="C53" s="16"/>
      <c r="D53" s="25"/>
      <c r="E53" s="16"/>
      <c r="F53" s="16"/>
      <c r="G53" s="604"/>
      <c r="I53" s="16"/>
      <c r="J53" s="272"/>
      <c r="K53" s="16"/>
      <c r="L53" s="16"/>
      <c r="M53" s="604"/>
    </row>
    <row r="54" spans="1:25" ht="60" customHeight="1" thickBot="1" x14ac:dyDescent="0.4">
      <c r="A54" s="2030">
        <v>17</v>
      </c>
      <c r="B54" s="629" t="s">
        <v>1002</v>
      </c>
      <c r="C54" s="612" t="str">
        <f>BIBLE!E128</f>
        <v>PFA27</v>
      </c>
      <c r="D54" s="1218" t="str">
        <f>BIBLE!F128</f>
        <v>L’autre parent cherche à limiter les contacts entre votre enfant et votre famille élargie (cousin.es, grands-parents, etc.).</v>
      </c>
      <c r="E54" s="1898">
        <f>Test_Bible!P217</f>
        <v>0</v>
      </c>
      <c r="F54" s="612">
        <f>Test_Bible!D217</f>
        <v>2</v>
      </c>
      <c r="G54" s="640" t="str">
        <f>BIBLE!V128</f>
        <v>Interférence lien affectif ou symbolique</v>
      </c>
      <c r="H54" s="618"/>
      <c r="I54" s="618"/>
      <c r="J54" s="618"/>
      <c r="K54" s="1958"/>
      <c r="L54" s="1958"/>
      <c r="M54" s="618"/>
      <c r="N54" s="1930"/>
      <c r="O54" s="1187" t="str">
        <f>BIBLE!E204</f>
        <v>E35a</v>
      </c>
      <c r="P54" s="1666" t="str">
        <f>BIBLE!F204</f>
        <v>Dans quelle mesure diriez-vous que votre enfant accepte les contacts avec votre famille élargie  (cousin.es, grands-parents, etc.) ?</v>
      </c>
      <c r="Q54" s="1987">
        <f>Test_Bible!P336</f>
        <v>0</v>
      </c>
      <c r="R54" s="1187">
        <f>Test_Bible!D336</f>
        <v>1</v>
      </c>
      <c r="S54" s="1188" t="str">
        <f>BIBLE!V204</f>
        <v>Rôle actif de l'enfant</v>
      </c>
      <c r="T54" s="1750"/>
      <c r="U54" s="618"/>
      <c r="V54" s="618"/>
      <c r="W54" s="1958"/>
      <c r="X54" s="1958"/>
      <c r="Y54" s="1945"/>
    </row>
    <row r="55" spans="1:25" ht="30" thickBot="1" x14ac:dyDescent="0.4">
      <c r="A55" s="2030"/>
      <c r="C55" s="16"/>
      <c r="D55" s="25"/>
      <c r="E55" s="16"/>
      <c r="F55" s="16"/>
      <c r="G55" s="604"/>
    </row>
    <row r="56" spans="1:25" ht="52" thickBot="1" x14ac:dyDescent="0.4">
      <c r="A56" s="2030">
        <v>18</v>
      </c>
      <c r="B56" s="629" t="s">
        <v>1003</v>
      </c>
      <c r="C56" s="631" t="str">
        <f>BIBLE!E141</f>
        <v>PFA31a1</v>
      </c>
      <c r="D56" s="1219" t="str">
        <f>BIBLE!F141</f>
        <v>Dans quelle mesure diriez-vous que l'autre parent se confie à votre enfant sur des sujets qui vous sont personnels ou qui concernent votre passé (intime) ?</v>
      </c>
      <c r="E56" s="1901">
        <f>Test_Bible!P244</f>
        <v>4</v>
      </c>
      <c r="F56" s="631">
        <f>Test_Bible!D244</f>
        <v>2</v>
      </c>
      <c r="G56" s="641" t="str">
        <f>BIBLE!V141</f>
        <v>Parentification</v>
      </c>
      <c r="H56" s="618"/>
      <c r="I56" s="618"/>
      <c r="J56" s="618"/>
      <c r="K56" s="1958"/>
      <c r="L56" s="1958"/>
      <c r="M56" s="618"/>
      <c r="N56" s="1930"/>
      <c r="O56" s="1178" t="str">
        <f>BIBLE!E183</f>
        <v>E22</v>
      </c>
      <c r="P56" s="1179" t="str">
        <f>BIBLE!F183</f>
        <v>Votre enfant connait des informations personnelles ou intimes sur vous dont vous n'avez jamais discuté avec lui ou avec elle.</v>
      </c>
      <c r="Q56" s="1986">
        <f>Test_Bible!P304</f>
        <v>2</v>
      </c>
      <c r="R56" s="1982">
        <f>Test_Bible!D304</f>
        <v>2</v>
      </c>
      <c r="S56" s="1189" t="str">
        <f>BIBLE!V183</f>
        <v>Interférence lien affectif ou symbolique</v>
      </c>
      <c r="T56" s="1750"/>
      <c r="U56" s="618"/>
      <c r="V56" s="618"/>
      <c r="W56" s="1958"/>
      <c r="X56" s="1958"/>
      <c r="Y56" s="1945"/>
    </row>
    <row r="57" spans="1:25" x14ac:dyDescent="0.35">
      <c r="A57" s="2030"/>
      <c r="C57" s="16"/>
      <c r="D57" s="25"/>
      <c r="E57" s="16"/>
      <c r="F57" s="16"/>
      <c r="G57" s="604"/>
      <c r="O57" s="498"/>
      <c r="P57" s="272"/>
      <c r="Q57" s="16"/>
      <c r="R57" s="16"/>
      <c r="S57" s="1147"/>
    </row>
    <row r="58" spans="1:25" ht="30" thickBot="1" x14ac:dyDescent="0.4">
      <c r="A58" s="2030"/>
      <c r="C58" s="16"/>
      <c r="D58" s="25"/>
      <c r="E58" s="16"/>
      <c r="F58" s="16"/>
      <c r="G58" s="604"/>
      <c r="O58" s="498"/>
      <c r="P58" s="272"/>
      <c r="Q58" s="16"/>
      <c r="R58" s="16"/>
      <c r="S58" s="1147"/>
      <c r="U58" s="498"/>
      <c r="V58" s="25"/>
      <c r="W58" s="16"/>
      <c r="X58" s="16"/>
      <c r="Y58" s="605"/>
    </row>
    <row r="59" spans="1:25" ht="51" x14ac:dyDescent="0.35">
      <c r="A59" s="2030">
        <v>19</v>
      </c>
      <c r="B59" s="623" t="s">
        <v>353</v>
      </c>
      <c r="C59" s="613" t="str">
        <f>BIBLE!E142</f>
        <v>PFA32</v>
      </c>
      <c r="D59" s="1215" t="str">
        <f>BIBLE!F142</f>
        <v>L'autre parent fait lire vos échanges et communications (courriels, textos, etc.) à votre enfant.</v>
      </c>
      <c r="E59" s="1956">
        <f>Test_Bible!P246</f>
        <v>4</v>
      </c>
      <c r="F59" s="613">
        <f>Test_Bible!D246</f>
        <v>3</v>
      </c>
      <c r="G59" s="669" t="str">
        <f>BIBLE!V142</f>
        <v>Parentification</v>
      </c>
      <c r="H59" s="626"/>
      <c r="I59" s="626"/>
      <c r="J59" s="626"/>
      <c r="K59" s="1938"/>
      <c r="L59" s="1938"/>
      <c r="M59" s="626"/>
      <c r="N59" s="1929"/>
      <c r="O59" s="1141" t="str">
        <f>BIBLE!E187</f>
        <v>E24</v>
      </c>
      <c r="P59" s="1142" t="str">
        <f>BIBLE!F187</f>
        <v>L'autre parent a informé votre enfant du contexte juridique, financier ou autre associé au conflit vous opposant.</v>
      </c>
      <c r="Q59" s="1981">
        <f>Test_Bible!P308</f>
        <v>10</v>
      </c>
      <c r="R59" s="1980">
        <f>Test_Bible!D308</f>
        <v>2</v>
      </c>
      <c r="S59" s="1428" t="str">
        <f>BIBLE!V187</f>
        <v>Parentification</v>
      </c>
      <c r="T59" s="1929"/>
      <c r="U59" s="1171" t="str">
        <f>BIBLE!E70</f>
        <v>PCR15</v>
      </c>
      <c r="V59" s="1228" t="str">
        <f>BIBLE!F70</f>
        <v>Il est important que votre enfant soit au courant des enjeux de la séparation et/ou du conflit qui vous oppose à l'autre parent.</v>
      </c>
      <c r="W59" s="1993">
        <f>Test_Bible!P151</f>
        <v>4</v>
      </c>
      <c r="X59" s="1992">
        <f>Test_Bible!D151</f>
        <v>3</v>
      </c>
      <c r="Y59" s="670" t="str">
        <f>BIBLE!V70</f>
        <v>Parentification</v>
      </c>
    </row>
    <row r="60" spans="1:25" ht="58" customHeight="1" thickBot="1" x14ac:dyDescent="0.4">
      <c r="A60" s="2030"/>
      <c r="B60" s="677"/>
      <c r="C60" s="16"/>
      <c r="D60" s="25"/>
      <c r="E60" s="16"/>
      <c r="F60" s="16"/>
      <c r="G60" s="604"/>
      <c r="N60" s="817"/>
      <c r="O60" s="514" t="str">
        <f>BIBLE!E172</f>
        <v>E15a</v>
      </c>
      <c r="P60" s="77" t="str">
        <f>BIBLE!F172</f>
        <v>Arrive-t-il à votre enfant de vous accuser de voler de l’argent à son autre parent ou d'être responsable de son apauvrissement ?</v>
      </c>
      <c r="Q60" s="768">
        <f>Test_Bible!P289</f>
        <v>0</v>
      </c>
      <c r="R60" s="514">
        <f>Test_Bible!D289</f>
        <v>3</v>
      </c>
      <c r="S60" s="1951" t="str">
        <f>BIBLE!V172</f>
        <v>Dénigrement</v>
      </c>
      <c r="U60" s="498"/>
      <c r="V60" s="25"/>
      <c r="W60" s="16"/>
      <c r="X60" s="16"/>
      <c r="Y60" s="1429"/>
    </row>
    <row r="61" spans="1:25" ht="55" customHeight="1" thickBot="1" x14ac:dyDescent="0.4">
      <c r="A61" s="2030"/>
      <c r="B61" s="627"/>
      <c r="C61" s="615"/>
      <c r="D61" s="1216"/>
      <c r="E61" s="615"/>
      <c r="F61" s="615"/>
      <c r="G61" s="614"/>
      <c r="H61" s="294"/>
      <c r="I61" s="294"/>
      <c r="J61" s="294"/>
      <c r="K61" s="1957"/>
      <c r="L61" s="1957"/>
      <c r="M61" s="294"/>
      <c r="N61" s="1931"/>
      <c r="O61" s="1430" t="str">
        <f>BIBLE!E198</f>
        <v>E32</v>
      </c>
      <c r="P61" s="1173" t="str">
        <f>BIBLE!F198</f>
        <v>Votre enfant vous accuse de mentir, de voler, etc.</v>
      </c>
      <c r="Q61" s="1985">
        <f>Test_Bible!P325</f>
        <v>0</v>
      </c>
      <c r="R61" s="1425">
        <f>Test_Bible!D325</f>
        <v>2</v>
      </c>
      <c r="S61" s="1188" t="str">
        <f>BIBLE!V210</f>
        <v>Rôle actif de l'enfant</v>
      </c>
      <c r="T61" s="294"/>
      <c r="U61" s="636"/>
      <c r="V61" s="1216"/>
      <c r="W61" s="615"/>
      <c r="X61" s="615"/>
      <c r="Y61" s="637"/>
    </row>
    <row r="62" spans="1:25" ht="30" thickBot="1" x14ac:dyDescent="0.4">
      <c r="A62" s="2030"/>
      <c r="C62" s="16"/>
      <c r="D62" s="25"/>
      <c r="E62" s="16"/>
      <c r="F62" s="16"/>
      <c r="G62" s="604"/>
      <c r="O62" s="498"/>
      <c r="P62" s="272"/>
      <c r="Q62" s="16"/>
      <c r="R62" s="16"/>
      <c r="S62" s="604"/>
      <c r="U62" s="498"/>
      <c r="V62" s="25"/>
      <c r="W62" s="16"/>
      <c r="X62" s="16"/>
      <c r="Y62" s="604"/>
    </row>
    <row r="63" spans="1:25" ht="51" x14ac:dyDescent="0.35">
      <c r="A63" s="2030">
        <v>20</v>
      </c>
      <c r="B63" s="623" t="s">
        <v>1004</v>
      </c>
      <c r="C63" s="613" t="str">
        <f>BIBLE!E144</f>
        <v>PFA34</v>
      </c>
      <c r="D63" s="1215" t="str">
        <f>BIBLE!F144</f>
        <v>L’autre parent refuse de vous parler et demande à votre enfant de faire les messages et autres demandes entourant la logistique familiale.</v>
      </c>
      <c r="E63" s="1956">
        <f>Test_Bible!P248</f>
        <v>4</v>
      </c>
      <c r="F63" s="613">
        <f>Test_Bible!D248</f>
        <v>2</v>
      </c>
      <c r="G63" s="671" t="str">
        <f>BIBLE!V144</f>
        <v>Rôle actif de l'enfant</v>
      </c>
      <c r="H63" s="1929"/>
      <c r="I63" s="1661" t="str">
        <f>BIBLE!E229</f>
        <v>NC11</v>
      </c>
      <c r="J63" s="1662" t="str">
        <f>BIBLE!F229</f>
        <v xml:space="preserve">Le nouveau ou nouvelle conjoint·e est responsable de la logistique familiale (communications scolaires, rendez-vous médicaux, etc.). </v>
      </c>
      <c r="K63" s="1976">
        <f>Test_Bible!P421</f>
        <v>7</v>
      </c>
      <c r="L63" s="1661">
        <f>Test_Bible!D421</f>
        <v>2</v>
      </c>
      <c r="M63" s="638" t="str">
        <f>BIBLE!V229</f>
        <v>Interférence temps et/ou communication</v>
      </c>
      <c r="N63" s="1929"/>
      <c r="O63" s="1141" t="str">
        <f>BIBLE!E185</f>
        <v>E17</v>
      </c>
      <c r="P63" s="1142" t="str">
        <f>BIBLE!F185</f>
        <v xml:space="preserve">Dans quelle mesure diriez-vous que votre enfant a la responsabilité de vous communiquer les informations concernant la logistique familiale (gestion vêtements, lunch, activités, etc.) au retour d'un séjour chez l'autre parent ? </v>
      </c>
      <c r="Q63" s="1981">
        <f>Test_Bible!P306</f>
        <v>7</v>
      </c>
      <c r="R63" s="1980">
        <f>Test_Bible!D306</f>
        <v>1</v>
      </c>
      <c r="S63" s="669" t="str">
        <f>BIBLE!V185</f>
        <v>Parentification</v>
      </c>
      <c r="T63" s="1929"/>
      <c r="U63" s="1171" t="str">
        <f>BIBLE!E68</f>
        <v>PCR13</v>
      </c>
      <c r="V63" s="1228" t="str">
        <f>BIBLE!F68</f>
        <v>Le contexte de coparentalité vous contraint à demander à votre enfant de faire les messages et demandes entourant la logistique familiale.</v>
      </c>
      <c r="W63" s="1993">
        <f>Test_Bible!P149</f>
        <v>7</v>
      </c>
      <c r="X63" s="1992">
        <f>Test_Bible!D149</f>
        <v>3</v>
      </c>
      <c r="Y63" s="672" t="str">
        <f>BIBLE!V68</f>
        <v>Parentification</v>
      </c>
    </row>
    <row r="64" spans="1:25" ht="52" customHeight="1" x14ac:dyDescent="0.35">
      <c r="A64" s="2030"/>
      <c r="B64" s="677"/>
      <c r="C64" s="386"/>
      <c r="D64" s="702"/>
      <c r="E64" s="386"/>
      <c r="F64" s="386"/>
      <c r="G64" s="1398"/>
      <c r="H64" s="817"/>
      <c r="I64" s="1663" t="str">
        <f>BIBLE!E223</f>
        <v>NC04a1</v>
      </c>
      <c r="J64" s="1663" t="str">
        <f>BIBLE!F223</f>
        <v>Arrive-t-il que le nouveau ou nouvelle conjoint·e vous critique ou dénigre vos compétences parentales devant votre enfant ?</v>
      </c>
      <c r="K64" s="1977">
        <f>Test_Bible!P415</f>
        <v>1</v>
      </c>
      <c r="L64" s="1663">
        <f>Test_Bible!D415</f>
        <v>3</v>
      </c>
      <c r="M64" s="608" t="str">
        <f>BIBLE!V223</f>
        <v>Dénigrement</v>
      </c>
      <c r="O64" s="1397"/>
      <c r="P64" s="77"/>
      <c r="Q64" s="514"/>
      <c r="R64" s="514"/>
      <c r="S64" s="1399"/>
      <c r="U64" s="1400"/>
      <c r="V64" s="966"/>
      <c r="W64" s="330"/>
      <c r="X64" s="330"/>
      <c r="Y64" s="1405"/>
    </row>
    <row r="65" spans="1:26" ht="52" customHeight="1" thickBot="1" x14ac:dyDescent="0.4">
      <c r="A65" s="2030"/>
      <c r="B65" s="627"/>
      <c r="C65" s="684"/>
      <c r="D65" s="1220"/>
      <c r="E65" s="684"/>
      <c r="F65" s="684"/>
      <c r="G65" s="685"/>
      <c r="H65" s="1931"/>
      <c r="I65" s="1664" t="str">
        <f>BIBLE!E222</f>
        <v>NC04a</v>
      </c>
      <c r="J65" s="1664" t="str">
        <f>BIBLE!F222</f>
        <v>Le nouveau ou nouvelle conjoint·e dénigre vos compétences parentales par texto, courriel ou autres?</v>
      </c>
      <c r="K65" s="1978">
        <f>Test_Bible!P414</f>
        <v>4</v>
      </c>
      <c r="L65" s="1664">
        <f>Test_Bible!D414</f>
        <v>3</v>
      </c>
      <c r="M65" s="648" t="str">
        <f>BIBLE!V222</f>
        <v>Dénigrement</v>
      </c>
      <c r="N65" s="294"/>
      <c r="O65" s="1172"/>
      <c r="P65" s="1173"/>
      <c r="Q65" s="1425"/>
      <c r="R65" s="1425"/>
      <c r="S65" s="646"/>
      <c r="T65" s="294"/>
      <c r="U65" s="1401"/>
      <c r="V65" s="1402"/>
      <c r="W65" s="1994"/>
      <c r="X65" s="1994"/>
      <c r="Y65" s="676"/>
    </row>
    <row r="66" spans="1:26" ht="19" customHeight="1" thickBot="1" x14ac:dyDescent="0.4">
      <c r="A66" s="2030"/>
      <c r="O66" s="498"/>
      <c r="P66" s="272"/>
      <c r="Q66" s="16"/>
      <c r="R66" s="16"/>
      <c r="S66" s="1147"/>
    </row>
    <row r="67" spans="1:26" ht="59" customHeight="1" x14ac:dyDescent="0.35">
      <c r="A67" s="2030">
        <v>21</v>
      </c>
      <c r="B67" s="623" t="s">
        <v>600</v>
      </c>
      <c r="C67" s="613" t="str">
        <f>BIBLE!E145</f>
        <v>PFA35</v>
      </c>
      <c r="D67" s="1215" t="str">
        <f>BIBLE!F145</f>
        <v>L’autre parent laisse à votre enfant le droit de respecter ou non l'entente de garde et votre temps (tour) de garde.</v>
      </c>
      <c r="E67" s="1956">
        <f>Test_Bible!P249</f>
        <v>0</v>
      </c>
      <c r="F67" s="613">
        <f>Test_Bible!D249</f>
        <v>3</v>
      </c>
      <c r="G67" s="671" t="str">
        <f>BIBLE!V145</f>
        <v>Rôle actif de l'enfant</v>
      </c>
      <c r="H67" s="626"/>
      <c r="I67" s="626"/>
      <c r="J67" s="626"/>
      <c r="K67" s="1938"/>
      <c r="L67" s="1938"/>
      <c r="M67" s="626"/>
      <c r="N67" s="1929"/>
      <c r="O67" s="1182" t="str">
        <f>BIBLE!E200</f>
        <v>E33a</v>
      </c>
      <c r="P67" s="1181" t="str">
        <f>BIBLE!F200</f>
        <v>Votre enfant demande à changer les termes de la garde afin de passer plus de temps chez l’autre parent.</v>
      </c>
      <c r="Q67" s="1963">
        <f>Test_Bible!P327</f>
        <v>0</v>
      </c>
      <c r="R67" s="649">
        <f>Test_Bible!D327</f>
        <v>2</v>
      </c>
      <c r="S67" s="1166" t="str">
        <f>BIBLE!V200</f>
        <v>Rôle actif de l'enfant</v>
      </c>
      <c r="T67" s="1929"/>
      <c r="U67" s="1190" t="str">
        <f>BIBLE!E62</f>
        <v>PCR09</v>
      </c>
      <c r="V67" s="1228" t="str">
        <f>BIBLE!F62</f>
        <v>Vous laissez à votre enfant le droit de choisir la fréquence des visites et le temps qu'il passe chez l'autre parent.</v>
      </c>
      <c r="W67" s="1993">
        <f>Test_Bible!P136</f>
        <v>2</v>
      </c>
      <c r="X67" s="1992">
        <f>Test_Bible!D136</f>
        <v>3</v>
      </c>
      <c r="Y67" s="639" t="str">
        <f>BIBLE!V62</f>
        <v>Interférence temps et/ou communication</v>
      </c>
    </row>
    <row r="68" spans="1:26" ht="59" customHeight="1" thickBot="1" x14ac:dyDescent="0.4">
      <c r="A68" s="2030"/>
      <c r="B68" s="627"/>
      <c r="C68" s="674"/>
      <c r="D68" s="1222"/>
      <c r="E68" s="674"/>
      <c r="F68" s="674"/>
      <c r="G68" s="614"/>
      <c r="H68" s="294"/>
      <c r="I68" s="294"/>
      <c r="J68" s="294"/>
      <c r="K68" s="1957"/>
      <c r="L68" s="1957"/>
      <c r="M68" s="294"/>
      <c r="N68" s="294"/>
      <c r="O68" s="294"/>
      <c r="P68" s="294"/>
      <c r="Q68" s="1957"/>
      <c r="R68" s="1957"/>
      <c r="S68" s="294"/>
      <c r="T68" s="294"/>
      <c r="U68" s="1191"/>
      <c r="V68" s="1216"/>
      <c r="W68" s="615"/>
      <c r="X68" s="615"/>
      <c r="Y68" s="637"/>
    </row>
    <row r="69" spans="1:26" ht="14" customHeight="1" thickBot="1" x14ac:dyDescent="0.4">
      <c r="A69" s="2030"/>
      <c r="O69" s="498"/>
      <c r="P69" s="272"/>
      <c r="Q69" s="16"/>
      <c r="R69" s="16"/>
      <c r="S69" s="1147"/>
    </row>
    <row r="70" spans="1:26" ht="59" customHeight="1" x14ac:dyDescent="0.35">
      <c r="A70" s="2030">
        <v>22</v>
      </c>
      <c r="B70" s="623" t="s">
        <v>1005</v>
      </c>
      <c r="C70" s="613" t="str">
        <f>BIBLE!E97</f>
        <v>PFA11</v>
      </c>
      <c r="D70" s="1215" t="str">
        <f>BIBLE!F97</f>
        <v xml:space="preserve">L'autre parent est d'avis que votre enfant est assez mature pour choisir où il doit vivre et avec quel parent.  </v>
      </c>
      <c r="E70" s="1956">
        <f>Test_Bible!P183</f>
        <v>10</v>
      </c>
      <c r="F70" s="613">
        <f>Test_Bible!D183</f>
        <v>3</v>
      </c>
      <c r="G70" s="1160" t="str">
        <f>BIBLE!V97</f>
        <v>Rôle actif de l'enfant</v>
      </c>
      <c r="H70" s="626"/>
      <c r="I70" s="1192"/>
      <c r="J70" s="626"/>
      <c r="K70" s="1938"/>
      <c r="L70" s="1938"/>
      <c r="M70" s="626"/>
      <c r="N70" s="1929"/>
      <c r="O70" s="1182" t="str">
        <f>BIBLE!E201</f>
        <v>E33b</v>
      </c>
      <c r="P70" s="1665" t="str">
        <f>BIBLE!F201</f>
        <v xml:space="preserve">Votre enfant vous informe qu’à 12 ou 14 ans, le droit de choisir les modalités de garde lui reviendrait. </v>
      </c>
      <c r="Q70" s="1988">
        <f>Test_Bible!P328</f>
        <v>0</v>
      </c>
      <c r="R70" s="1182">
        <f>Test_Bible!D328</f>
        <v>3</v>
      </c>
      <c r="S70" s="1166" t="str">
        <f>BIBLE!V197</f>
        <v>Rôle actif de l'enfant</v>
      </c>
      <c r="T70" s="1929"/>
      <c r="U70" s="1171" t="str">
        <f>BIBLE!E69</f>
        <v>PCR14</v>
      </c>
      <c r="V70" s="1228" t="str">
        <f>BIBLE!F69</f>
        <v>Un enfant de 12 ans est assez mature pour choisir où et avec qui il veut vivre.</v>
      </c>
      <c r="W70" s="1993">
        <f>Test_Bible!P150</f>
        <v>1</v>
      </c>
      <c r="X70" s="1992">
        <f>Test_Bible!D150</f>
        <v>3</v>
      </c>
      <c r="Y70" s="672" t="str">
        <f>BIBLE!V69</f>
        <v>Parentification</v>
      </c>
    </row>
    <row r="71" spans="1:26" ht="55" customHeight="1" thickBot="1" x14ac:dyDescent="0.4">
      <c r="A71" s="2030"/>
      <c r="B71" s="627"/>
      <c r="C71" s="673" t="str">
        <f>BIBLE!E131</f>
        <v>PFA39</v>
      </c>
      <c r="D71" s="1223" t="str">
        <f>BIBLE!F131</f>
        <v xml:space="preserve">Dans quelle mesure est-ce que l'autre parent se dit impuissant et non responsable de la décision de votre enfant de ne plus respecter l'entente de garde ? </v>
      </c>
      <c r="E71" s="1964">
        <f>Test_Bible!P220</f>
        <v>0</v>
      </c>
      <c r="F71" s="673">
        <f>Test_Bible!D220</f>
        <v>3</v>
      </c>
      <c r="G71" s="1193" t="str">
        <f>BIBLE!V131</f>
        <v>Interférence lien affectif ou symbolique</v>
      </c>
      <c r="H71" s="294"/>
      <c r="I71" s="294"/>
      <c r="J71" s="294"/>
      <c r="K71" s="1957"/>
      <c r="L71" s="1957"/>
      <c r="M71" s="294"/>
      <c r="N71" s="294"/>
      <c r="O71" s="636"/>
      <c r="P71" s="1144"/>
      <c r="Q71" s="615"/>
      <c r="R71" s="615"/>
      <c r="S71" s="1167"/>
      <c r="T71" s="294"/>
      <c r="U71" s="294"/>
      <c r="V71" s="294"/>
      <c r="W71" s="1957"/>
      <c r="X71" s="1957"/>
      <c r="Y71" s="295"/>
    </row>
    <row r="72" spans="1:26" ht="18" customHeight="1" thickBot="1" x14ac:dyDescent="0.4">
      <c r="A72" s="2030"/>
      <c r="C72" s="16"/>
      <c r="D72" s="25"/>
      <c r="E72" s="16"/>
      <c r="F72" s="16"/>
      <c r="G72" s="604"/>
      <c r="O72" s="498"/>
      <c r="P72" s="272"/>
      <c r="Q72" s="16"/>
      <c r="R72" s="16"/>
      <c r="S72" s="1147"/>
      <c r="U72" s="498"/>
      <c r="V72" s="25"/>
      <c r="W72" s="16"/>
      <c r="X72" s="16"/>
      <c r="Y72" s="604"/>
    </row>
    <row r="73" spans="1:26" ht="52" thickBot="1" x14ac:dyDescent="0.4">
      <c r="A73" s="2030">
        <v>23</v>
      </c>
      <c r="B73" s="629" t="s">
        <v>597</v>
      </c>
      <c r="C73" s="631" t="str">
        <f>BIBLE!E98</f>
        <v>PFA11a</v>
      </c>
      <c r="D73" s="1219" t="str">
        <f>BIBLE!F98</f>
        <v>Est-ce que l'autre parent vous demande de respecter les désirs et les choix de votre enfant ?</v>
      </c>
      <c r="E73" s="1901">
        <f>Test_Bible!P184</f>
        <v>7</v>
      </c>
      <c r="F73" s="631">
        <f>Test_Bible!D184</f>
        <v>3</v>
      </c>
      <c r="G73" s="642" t="str">
        <f>BIBLE!V98</f>
        <v>Rôle actif de l'enfant</v>
      </c>
      <c r="H73" s="1930"/>
      <c r="I73" s="1155" t="str">
        <f>BIBLE!E234</f>
        <v>NC16</v>
      </c>
      <c r="J73" s="1156" t="str">
        <f>BIBLE!F234</f>
        <v>Est-ce que le nouveau ou nouvelle conjoint·e vous demande de respecter les désirs et choix de votre enfant ?</v>
      </c>
      <c r="K73" s="1968">
        <f>Test_Bible!P426</f>
        <v>7</v>
      </c>
      <c r="L73" s="1967">
        <f>Test_Bible!D426</f>
        <v>3</v>
      </c>
      <c r="M73" s="642" t="str">
        <f>BIBLE!V234</f>
        <v>Rôle actif de l'enfant</v>
      </c>
      <c r="N73" s="1930"/>
      <c r="O73" s="1187" t="str">
        <f>BIBLE!E199</f>
        <v>E33</v>
      </c>
      <c r="P73" s="1666" t="str">
        <f>BIBLE!F199</f>
        <v>Votre enfant vous reproche de lui manquer de respect en ne respectant pas ses choix, besoins, désirs, rythme, etc.</v>
      </c>
      <c r="Q73" s="1987">
        <f>Test_Bible!P326</f>
        <v>0</v>
      </c>
      <c r="R73" s="1187">
        <f>Test_Bible!D326</f>
        <v>3</v>
      </c>
      <c r="S73" s="1188" t="str">
        <f>BIBLE!V199</f>
        <v>Rôle actif de l'enfant</v>
      </c>
      <c r="U73" s="2096"/>
      <c r="V73" s="647"/>
      <c r="W73" s="619"/>
      <c r="X73" s="619"/>
      <c r="Y73" s="2097"/>
    </row>
    <row r="74" spans="1:26" ht="16" customHeight="1" thickBot="1" x14ac:dyDescent="0.4">
      <c r="A74" s="2030"/>
      <c r="C74" s="16"/>
      <c r="D74" s="25"/>
      <c r="E74" s="16"/>
      <c r="F74" s="16"/>
      <c r="G74" s="604"/>
      <c r="I74" s="16"/>
      <c r="J74" s="272"/>
      <c r="K74" s="16"/>
      <c r="L74" s="16"/>
      <c r="M74" s="604"/>
      <c r="O74" s="498"/>
      <c r="P74" s="272"/>
      <c r="Q74" s="16"/>
      <c r="R74" s="16"/>
      <c r="S74" s="1147"/>
      <c r="U74" s="498"/>
      <c r="V74" s="25"/>
      <c r="W74" s="16"/>
      <c r="X74" s="16"/>
      <c r="Y74" s="604"/>
    </row>
    <row r="75" spans="1:26" ht="34" x14ac:dyDescent="0.35">
      <c r="A75" s="2030">
        <v>24</v>
      </c>
      <c r="B75" s="623" t="s">
        <v>599</v>
      </c>
      <c r="C75" s="613" t="str">
        <f>BIBLE!E146</f>
        <v>PFA36</v>
      </c>
      <c r="D75" s="1215" t="str">
        <f>BIBLE!F146</f>
        <v>L’autre parent demande à votre enfant de choisir avec quel parent il veut vivre.</v>
      </c>
      <c r="E75" s="1956">
        <f>Test_Bible!P250</f>
        <v>0</v>
      </c>
      <c r="F75" s="613">
        <f>Test_Bible!D250</f>
        <v>3</v>
      </c>
      <c r="G75" s="671" t="str">
        <f>BIBLE!V146</f>
        <v>Chantage affectif, manipulation</v>
      </c>
      <c r="H75" s="626"/>
      <c r="I75" s="645"/>
      <c r="J75" s="1157"/>
      <c r="K75" s="611"/>
      <c r="L75" s="611"/>
      <c r="M75" s="645"/>
      <c r="N75" s="1929"/>
      <c r="O75" s="1403" t="str">
        <f>BIBLE!E197</f>
        <v>E30</v>
      </c>
      <c r="P75" s="1142" t="str">
        <f>BIBLE!F197</f>
        <v>Votre enfant réclame le droit de choisir les moments où il vous rend visite et la durée des visites chez vous.</v>
      </c>
      <c r="Q75" s="1981">
        <f>Test_Bible!P324</f>
        <v>0</v>
      </c>
      <c r="R75" s="1980">
        <f>Test_Bible!D324</f>
        <v>2</v>
      </c>
      <c r="S75" s="1404" t="str">
        <f>BIBLE!V201</f>
        <v>Rôle actif de l'enfant</v>
      </c>
      <c r="U75" s="2098"/>
      <c r="V75" s="686"/>
      <c r="W75" s="611"/>
      <c r="X75" s="611"/>
      <c r="Y75" s="2099"/>
      <c r="Z75" s="810" t="s">
        <v>776</v>
      </c>
    </row>
    <row r="76" spans="1:26" ht="57" customHeight="1" thickBot="1" x14ac:dyDescent="0.4">
      <c r="A76" s="2030"/>
      <c r="B76" s="627"/>
      <c r="C76" s="682" t="str">
        <f>BIBLE!E135</f>
        <v>PFA30</v>
      </c>
      <c r="D76" s="1224" t="str">
        <f>BIBLE!F135</f>
        <v>L’autre parent incite, consciemment ou inconsciemment, votre enfant à choisir entre ses deux parents.</v>
      </c>
      <c r="E76" s="1965">
        <f>Test_Bible!P234</f>
        <v>7</v>
      </c>
      <c r="F76" s="682">
        <f>Test_Bible!D234</f>
        <v>3</v>
      </c>
      <c r="G76" s="681" t="str">
        <f>BIBLE!V135</f>
        <v>Interférence lien affectif ou symbolique</v>
      </c>
      <c r="H76" s="294"/>
      <c r="I76" s="615"/>
      <c r="J76" s="1144"/>
      <c r="K76" s="615"/>
      <c r="L76" s="615"/>
      <c r="M76" s="614"/>
      <c r="N76" s="294"/>
      <c r="O76" s="636"/>
      <c r="P76" s="1144"/>
      <c r="Q76" s="615"/>
      <c r="R76" s="615"/>
      <c r="S76" s="1165"/>
      <c r="U76" s="2100"/>
      <c r="V76" s="1216"/>
      <c r="W76" s="615"/>
      <c r="X76" s="615"/>
      <c r="Y76" s="688"/>
      <c r="Z76" s="810"/>
    </row>
    <row r="77" spans="1:26" ht="28" customHeight="1" thickBot="1" x14ac:dyDescent="0.4">
      <c r="A77" s="2030"/>
      <c r="B77" s="272"/>
      <c r="C77" s="610"/>
      <c r="D77" s="1225"/>
      <c r="E77" s="610"/>
      <c r="F77" s="610"/>
      <c r="G77" s="604"/>
      <c r="I77" s="16"/>
      <c r="J77" s="272"/>
      <c r="K77" s="16"/>
      <c r="L77" s="16"/>
      <c r="M77" s="604"/>
      <c r="O77" s="498"/>
      <c r="P77" s="272"/>
      <c r="Q77" s="16"/>
      <c r="R77" s="16"/>
      <c r="S77" s="1147"/>
      <c r="U77" s="498"/>
      <c r="V77" s="25"/>
      <c r="W77" s="16"/>
      <c r="X77" s="16"/>
      <c r="Y77" s="604"/>
    </row>
    <row r="78" spans="1:26" ht="83" customHeight="1" x14ac:dyDescent="0.35">
      <c r="A78" s="2030">
        <v>25</v>
      </c>
      <c r="B78" s="1998" t="s">
        <v>1006</v>
      </c>
      <c r="C78" s="613" t="str">
        <f>BIBLE!E129</f>
        <v>PFA28</v>
      </c>
      <c r="D78" s="1215" t="str">
        <f>BIBLE!F129</f>
        <v xml:space="preserve">L’autre parent permet à votre enfant d'apporter des objets (jouets ou cadeaux reçus) provenant de chez vous. </v>
      </c>
      <c r="E78" s="1956">
        <f>Test_Bible!P218</f>
        <v>7</v>
      </c>
      <c r="F78" s="613">
        <f>Test_Bible!D218</f>
        <v>2</v>
      </c>
      <c r="G78" s="680" t="str">
        <f>BIBLE!V129</f>
        <v>Interférence lien affectif ou symbolique</v>
      </c>
      <c r="H78" s="626"/>
      <c r="I78" s="626"/>
      <c r="J78" s="626"/>
      <c r="K78" s="1938"/>
      <c r="L78" s="1938"/>
      <c r="M78" s="626"/>
      <c r="N78" s="1929"/>
      <c r="O78" s="1932" t="str">
        <f>BIBLE!E182</f>
        <v>E21a</v>
      </c>
      <c r="P78" s="1181" t="str">
        <f>BIBLE!F182</f>
        <v xml:space="preserve">Dans quelle mesure diriez-vous que l'autre parent accepte que votre enfant apporte des objets qui proviennent de votre demeure ou de votre milieu ? </v>
      </c>
      <c r="Q78" s="1963">
        <f>Test_Bible!P303</f>
        <v>7</v>
      </c>
      <c r="R78" s="649">
        <f>Test_Bible!D303</f>
        <v>2</v>
      </c>
      <c r="S78" s="1194" t="str">
        <f>BIBLE!V182</f>
        <v>Interférence lien affectif ou symbolique</v>
      </c>
      <c r="T78" s="1929"/>
      <c r="U78" s="1190" t="str">
        <f>BIBLE!E65</f>
        <v>PCR11</v>
      </c>
      <c r="V78" s="1228" t="str">
        <f>BIBLE!F65</f>
        <v>Vous acceptez que les vêtements et/ou jouets de votre enfant se promènent d’une maison à l’autre.</v>
      </c>
      <c r="W78" s="1993">
        <f>Test_Bible!P139</f>
        <v>1</v>
      </c>
      <c r="X78" s="1992">
        <f>Test_Bible!D139</f>
        <v>2</v>
      </c>
      <c r="Y78" s="667" t="str">
        <f>BIBLE!V65</f>
        <v>Interférence lien affectif ou symbolique</v>
      </c>
    </row>
    <row r="79" spans="1:26" ht="68" customHeight="1" thickBot="1" x14ac:dyDescent="0.4">
      <c r="A79" s="2030"/>
      <c r="B79" s="687"/>
      <c r="C79" s="1703" t="str">
        <f>BIBLE!E130</f>
        <v>PFA28a</v>
      </c>
      <c r="D79" s="1217" t="str">
        <f>BIBLE!F130</f>
        <v xml:space="preserve">L’autre parent jette les cadeaux que vous avez offerts à votre enfant ou proscrit les photographies de vous dans sa demeure. </v>
      </c>
      <c r="E79" s="643">
        <f>Test_Bible!P219</f>
        <v>4</v>
      </c>
      <c r="F79" s="643">
        <f>Test_Bible!D219</f>
        <v>3</v>
      </c>
      <c r="G79" s="1704" t="str">
        <f>BIBLE!V130</f>
        <v>Interférence lien affectif ou symbolique</v>
      </c>
      <c r="H79" s="294"/>
      <c r="I79" s="615"/>
      <c r="J79" s="1144"/>
      <c r="K79" s="615"/>
      <c r="L79" s="615"/>
      <c r="M79" s="614"/>
      <c r="N79" s="614"/>
      <c r="O79" s="614"/>
      <c r="P79" s="614"/>
      <c r="Q79" s="1960"/>
      <c r="R79" s="1960"/>
      <c r="S79" s="614"/>
      <c r="T79" s="614"/>
      <c r="U79" s="636"/>
      <c r="V79" s="1144"/>
      <c r="W79" s="615"/>
      <c r="X79" s="615"/>
      <c r="Y79" s="688"/>
    </row>
    <row r="80" spans="1:26" ht="25" customHeight="1" thickBot="1" x14ac:dyDescent="0.4">
      <c r="A80" s="2030"/>
      <c r="C80" s="16"/>
      <c r="D80" s="272"/>
      <c r="E80" s="16"/>
      <c r="F80" s="16"/>
      <c r="G80" s="604"/>
      <c r="I80" s="16"/>
      <c r="J80" s="272"/>
      <c r="K80" s="16"/>
      <c r="L80" s="16"/>
      <c r="M80" s="604"/>
      <c r="O80" s="610"/>
      <c r="P80" s="272"/>
      <c r="Q80" s="16"/>
      <c r="R80" s="16"/>
      <c r="S80" s="605"/>
      <c r="U80" s="610"/>
      <c r="V80" s="272"/>
      <c r="W80" s="16"/>
      <c r="X80" s="16"/>
      <c r="Y80" s="604"/>
    </row>
    <row r="81" spans="1:25" ht="59" customHeight="1" x14ac:dyDescent="0.35">
      <c r="A81" s="2030">
        <v>26</v>
      </c>
      <c r="B81" s="623" t="s">
        <v>1087</v>
      </c>
      <c r="C81" s="613" t="str">
        <f>BIBLE!E139</f>
        <v>PFA31</v>
      </c>
      <c r="D81" s="624" t="str">
        <f>BIBLE!F139</f>
        <v xml:space="preserve">Dans quelle mesure diriez-vous que l'autre parent accepte ou vit bien avec la séparation (de couple ou familiale) ? </v>
      </c>
      <c r="E81" s="1956">
        <f>Test_Bible!P243</f>
        <v>4</v>
      </c>
      <c r="F81" s="613">
        <f>Test_Bible!D244</f>
        <v>2</v>
      </c>
      <c r="G81" s="669" t="str">
        <f>BIBLE!V139</f>
        <v>Parentification</v>
      </c>
      <c r="H81" s="1929"/>
      <c r="I81" s="1169" t="str">
        <f>BIBLE!E217</f>
        <v>NC01</v>
      </c>
      <c r="J81" s="1169" t="str">
        <f>BIBLE!F217</f>
        <v>Le nouveau ou nouvelle conjoint·e joue un rôle de confident·e auprès de votre enfant.</v>
      </c>
      <c r="K81" s="1973">
        <f>Test_Bible!P404</f>
        <v>0</v>
      </c>
      <c r="L81" s="1169">
        <f>Test_Bible!D404</f>
        <v>0</v>
      </c>
      <c r="M81" s="625" t="str">
        <f>BIBLE!V217</f>
        <v>A:Alliance</v>
      </c>
      <c r="N81" s="1929"/>
      <c r="O81" s="1390" t="str">
        <f>BIBLE!E165</f>
        <v>E09</v>
      </c>
      <c r="P81" s="1142" t="str">
        <f>BIBLE!F165</f>
        <v xml:space="preserve">Dans quelle mesure diriez-vous que votre enfant vous tient responsable de la peine ou de la frustration de son autre parent ? </v>
      </c>
      <c r="Q81" s="1981">
        <f>Test_Bible!P282</f>
        <v>2</v>
      </c>
      <c r="R81" s="1980">
        <f>Test_Bible!D282</f>
        <v>1</v>
      </c>
      <c r="S81" s="1391" t="str">
        <f>BIBLE!V165</f>
        <v>Chantage affectif, manipulation</v>
      </c>
      <c r="T81" s="1929"/>
      <c r="U81" s="675" t="str">
        <f>BIBLE!E72</f>
        <v>PCR16</v>
      </c>
      <c r="V81" s="1952" t="str">
        <f>BIBLE!F72</f>
        <v xml:space="preserve">Dans quelle mesure acceptez-vous ou êtes-vous serein·e avec la séparation (couple et famille) ? </v>
      </c>
      <c r="W81" s="1996">
        <f>Test_Bible!P154</f>
        <v>4</v>
      </c>
      <c r="X81" s="675">
        <f>Test_Bible!D154</f>
        <v>1</v>
      </c>
      <c r="Y81" s="670" t="str">
        <f>BIBLE!V72</f>
        <v>Parentification</v>
      </c>
    </row>
    <row r="82" spans="1:25" ht="73" customHeight="1" x14ac:dyDescent="0.35">
      <c r="A82" s="2030"/>
      <c r="B82" s="677"/>
      <c r="C82" s="507" t="str">
        <f>BIBLE!E140</f>
        <v>PFA31a</v>
      </c>
      <c r="D82" s="274" t="str">
        <f>BIBLE!F140</f>
        <v>L’autre parent confie à votre enfant sa peine concernant la séparation.</v>
      </c>
      <c r="E82" s="507">
        <f>Test_Bible!P244</f>
        <v>4</v>
      </c>
      <c r="F82" s="507">
        <f>Test_Bible!D245</f>
        <v>2</v>
      </c>
      <c r="G82" s="1399" t="str">
        <f>BIBLE!V140</f>
        <v>Parentification</v>
      </c>
      <c r="H82" s="817"/>
      <c r="I82" s="515" t="str">
        <f>BIBLE!E218</f>
        <v>NC01a</v>
      </c>
      <c r="J82" s="515" t="str">
        <f>BIBLE!F218</f>
        <v>Dans quelle mesure cette relation de confident·e vous apparaît être saine ?</v>
      </c>
      <c r="K82" s="1979">
        <f>Test_Bible!P405</f>
        <v>0</v>
      </c>
      <c r="L82" s="515">
        <f>Test_Bible!D405</f>
        <v>2</v>
      </c>
      <c r="M82" s="1705" t="str">
        <f>BIBLE!V218</f>
        <v>A:Alliance</v>
      </c>
      <c r="N82" s="817"/>
      <c r="O82" s="143" t="str">
        <f>BIBLE!E186</f>
        <v>E23</v>
      </c>
      <c r="P82" s="1706" t="str">
        <f>BIBLE!F186</f>
        <v>Votre enfant se sent responsable du bonheur de l’autre parent ou sent le besoin de le protéger.</v>
      </c>
      <c r="Q82" s="1989">
        <f>Test_Bible!P307</f>
        <v>1</v>
      </c>
      <c r="R82" s="1983">
        <f>Test_Bible!D307</f>
        <v>1</v>
      </c>
      <c r="S82" s="1399" t="str">
        <f>BIBLE!V186</f>
        <v>Parentification</v>
      </c>
      <c r="T82" s="817"/>
      <c r="U82" s="507" t="str">
        <f>BIBLE!E73</f>
        <v>PCR16a</v>
      </c>
      <c r="V82" s="274" t="str">
        <f>BIBLE!F73</f>
        <v>Vous confiez à votre enfant votre peine concernant la séparation.</v>
      </c>
      <c r="W82" s="507">
        <f>Test_Bible!P155</f>
        <v>4</v>
      </c>
      <c r="X82" s="507">
        <f>Test_Bible!D155</f>
        <v>2</v>
      </c>
      <c r="Y82" s="1405" t="str">
        <f>BIBLE!V73</f>
        <v>Parentification</v>
      </c>
    </row>
    <row r="83" spans="1:25" ht="63" customHeight="1" thickBot="1" x14ac:dyDescent="0.4">
      <c r="A83" s="2030"/>
      <c r="B83" s="293"/>
      <c r="C83" s="294"/>
      <c r="D83" s="294"/>
      <c r="E83" s="1957"/>
      <c r="F83" s="1957"/>
      <c r="G83" s="294"/>
      <c r="H83" s="294"/>
      <c r="I83" s="294"/>
      <c r="J83" s="294"/>
      <c r="K83" s="1957"/>
      <c r="L83" s="1957"/>
      <c r="M83" s="294"/>
      <c r="N83" s="1931"/>
      <c r="O83" s="1427" t="str">
        <f>BIBLE!E188</f>
        <v>E25</v>
      </c>
      <c r="P83" s="1173" t="str">
        <f>BIBLE!F188</f>
        <v>Dans quelle mesure diriez-vous que votre enfant sent le besoin de protéger l’autre parent ou de défendre ses intérêts ?</v>
      </c>
      <c r="Q83" s="1985">
        <f>Test_Bible!P309</f>
        <v>7</v>
      </c>
      <c r="R83" s="1425">
        <f>Test_Bible!D309</f>
        <v>2</v>
      </c>
      <c r="S83" s="646" t="str">
        <f>BIBLE!V188</f>
        <v>Parentification</v>
      </c>
      <c r="T83" s="294"/>
      <c r="U83" s="294"/>
      <c r="V83" s="1144"/>
      <c r="W83" s="615"/>
      <c r="X83" s="615"/>
      <c r="Y83" s="688"/>
    </row>
    <row r="84" spans="1:25" ht="82" customHeight="1" thickBot="1" x14ac:dyDescent="0.4">
      <c r="B84" s="746" t="s">
        <v>1820</v>
      </c>
      <c r="V84" s="272"/>
      <c r="W84" s="16"/>
      <c r="X84" s="16"/>
      <c r="Y84" s="604"/>
    </row>
    <row r="85" spans="1:25" ht="64" customHeight="1" thickBot="1" x14ac:dyDescent="0.25">
      <c r="A85" s="2033">
        <v>27</v>
      </c>
      <c r="B85" s="629" t="e">
        <f>#REF!</f>
        <v>#REF!</v>
      </c>
      <c r="C85" s="612" t="str">
        <f>BIBLE!E99</f>
        <v>PFA12</v>
      </c>
      <c r="D85" s="616" t="str">
        <f>BIBLE!F99</f>
        <v>L'autre parent questionne votre enfant à son retour de garde afin de connaître la routine (repas, dodo, activités, etc.) chez vous.</v>
      </c>
      <c r="E85" s="1898">
        <f>Test_Bible!P185</f>
        <v>10</v>
      </c>
      <c r="F85" s="612">
        <f>Test_Bible!D185</f>
        <v>1</v>
      </c>
      <c r="G85" s="1889" t="str">
        <f>BIBLE!V99</f>
        <v>Chantage affectif, manipulation</v>
      </c>
      <c r="H85" s="618"/>
      <c r="I85" s="618"/>
      <c r="J85" s="618"/>
      <c r="K85" s="1958"/>
      <c r="L85" s="1958"/>
      <c r="M85" s="618"/>
      <c r="N85" s="618"/>
      <c r="O85" s="618"/>
      <c r="P85" s="618"/>
      <c r="Q85" s="1958"/>
      <c r="R85" s="1958"/>
      <c r="S85" s="618"/>
      <c r="T85" s="618"/>
      <c r="U85" s="1933" t="str">
        <f>BIBLE!E57</f>
        <v>PCR04</v>
      </c>
      <c r="V85" s="1933" t="str">
        <f>BIBLE!F57</f>
        <v>Vous questionnez votre enfant à son retour de garde afin de connaître la routine (repas, dodo, activités, etc.) chez l'autre parent.</v>
      </c>
      <c r="W85" s="1903">
        <f>Test_Bible!P125</f>
        <v>4</v>
      </c>
      <c r="X85" s="1877">
        <f>Test_Bible!D125</f>
        <v>1</v>
      </c>
      <c r="Y85" s="1881" t="str">
        <f>BIBLE!V57</f>
        <v>Chantage affectif, manipulation</v>
      </c>
    </row>
    <row r="86" spans="1:25" ht="12" customHeight="1" thickBot="1" x14ac:dyDescent="0.25">
      <c r="A86" s="2033"/>
      <c r="B86"/>
      <c r="D86" s="291"/>
      <c r="G86" s="757"/>
      <c r="V86" s="272"/>
      <c r="W86" s="16"/>
      <c r="X86" s="16"/>
      <c r="Y86" s="604"/>
    </row>
    <row r="87" spans="1:25" ht="96" customHeight="1" thickBot="1" x14ac:dyDescent="0.25">
      <c r="A87" s="2033">
        <v>28</v>
      </c>
      <c r="B87" s="629" t="e">
        <f>#REF!</f>
        <v>#REF!</v>
      </c>
      <c r="C87" s="612" t="str">
        <f>BIBLE!E121</f>
        <v>PFA22</v>
      </c>
      <c r="D87" s="616" t="str">
        <f>BIBLE!F121</f>
        <v>Dans quelle mesure diriez-vous que l'autre parent accepte ou vit bien avec les exigences de la coparentalité (logistique horaire, transport, vacances, etc.) ?</v>
      </c>
      <c r="E87" s="1898">
        <f>Test_Bible!P207</f>
        <v>10</v>
      </c>
      <c r="F87" s="612">
        <f>Test_Bible!D207</f>
        <v>1</v>
      </c>
      <c r="G87" s="650" t="str">
        <f>BIBLE!V121</f>
        <v>Interférence lien affectif ou symbolique</v>
      </c>
      <c r="H87" s="618"/>
      <c r="I87" s="619"/>
      <c r="J87" s="1152"/>
      <c r="K87" s="619"/>
      <c r="L87" s="619"/>
      <c r="M87" s="617"/>
      <c r="N87" s="618"/>
      <c r="O87" s="1153"/>
      <c r="P87" s="1152"/>
      <c r="Q87" s="619"/>
      <c r="R87" s="619"/>
      <c r="S87" s="1936"/>
      <c r="T87" s="1930"/>
      <c r="U87" s="1933" t="str">
        <f>BIBLE!E64</f>
        <v>PCR10</v>
      </c>
      <c r="V87" s="1933" t="str">
        <f>BIBLE!F64</f>
        <v>Dans quelle mesure acceptez-vous ou êtes-vous serein·e face aux exigences de la coparentalité (logistique horaire, transport, vacances, etc.) ?</v>
      </c>
      <c r="W87" s="1903">
        <f>Test_Bible!P138</f>
        <v>1</v>
      </c>
      <c r="X87" s="1877">
        <f>Test_Bible!D138</f>
        <v>1</v>
      </c>
      <c r="Y87" s="668" t="str">
        <f>BIBLE!V64</f>
        <v>Interférence lien affectif ou symbolique</v>
      </c>
    </row>
    <row r="88" spans="1:25" ht="13" customHeight="1" thickBot="1" x14ac:dyDescent="0.25">
      <c r="A88" s="2033"/>
      <c r="B88"/>
      <c r="D88" s="291"/>
      <c r="V88" s="272"/>
      <c r="W88" s="16"/>
      <c r="X88" s="16"/>
      <c r="Y88" s="604"/>
    </row>
    <row r="89" spans="1:25" ht="66" customHeight="1" thickBot="1" x14ac:dyDescent="0.25">
      <c r="A89" s="2033">
        <v>29</v>
      </c>
      <c r="B89" s="629" t="e">
        <f>#REF!</f>
        <v>#REF!</v>
      </c>
      <c r="C89" s="612" t="str">
        <f>BIBLE!E119</f>
        <v>PFA21</v>
      </c>
      <c r="D89" s="616" t="str">
        <f>BIBLE!F119</f>
        <v xml:space="preserve">Dans quelle mesure diriez-vous que l'autre parent vous considère comme étant son égal·e sur le plan parental ? </v>
      </c>
      <c r="E89" s="1898">
        <f>Test_Bible!P205</f>
        <v>10</v>
      </c>
      <c r="F89" s="612">
        <f>Test_Bible!D205</f>
        <v>1</v>
      </c>
      <c r="G89" s="1890" t="str">
        <f>BIBLE!V119</f>
        <v>Interférence lien affectif ou symbolique</v>
      </c>
      <c r="H89" s="617"/>
      <c r="I89" s="618"/>
      <c r="J89" s="618"/>
      <c r="K89" s="1958"/>
      <c r="L89" s="1958"/>
      <c r="M89" s="618"/>
      <c r="N89" s="618"/>
      <c r="O89" s="618"/>
      <c r="P89" s="618"/>
      <c r="Q89" s="1958"/>
      <c r="R89" s="1958"/>
      <c r="S89" s="618"/>
      <c r="T89" s="618"/>
      <c r="U89" s="1933" t="str">
        <f>BIBLE!E63</f>
        <v>PCR19</v>
      </c>
      <c r="V89" s="1933" t="str">
        <f>BIBLE!F63</f>
        <v>Dans quelle mesure considérez-vous l'autre parent comme étant votre égal·e sur le plan parental ?</v>
      </c>
      <c r="W89" s="1903">
        <f>Test_Bible!P137</f>
        <v>4</v>
      </c>
      <c r="X89" s="1877">
        <f>Test_Bible!D137</f>
        <v>1</v>
      </c>
      <c r="Y89" s="1880" t="str">
        <f>BIBLE!V63</f>
        <v>Interférence lien affectif ou symbolique</v>
      </c>
    </row>
    <row r="90" spans="1:25" ht="12" customHeight="1" thickBot="1" x14ac:dyDescent="0.25">
      <c r="A90" s="2033"/>
      <c r="B90"/>
      <c r="D90" s="291"/>
      <c r="G90" s="757"/>
      <c r="V90" s="1916"/>
      <c r="Y90" s="757"/>
    </row>
    <row r="91" spans="1:25" ht="63" customHeight="1" thickBot="1" x14ac:dyDescent="0.25">
      <c r="A91" s="2033">
        <v>30</v>
      </c>
      <c r="B91" s="1317" t="e">
        <f>#REF!</f>
        <v>#REF!</v>
      </c>
      <c r="C91" s="612" t="str">
        <f>BIBLE!E132</f>
        <v>PFA29</v>
      </c>
      <c r="D91" s="612" t="str">
        <f>BIBLE!F132</f>
        <v>L'autre parent prend des décisions sans vous consulter.</v>
      </c>
      <c r="E91" s="1898">
        <f>Test_Bible!P221</f>
        <v>7</v>
      </c>
      <c r="F91" s="612">
        <f>Test_Bible!D221</f>
        <v>2</v>
      </c>
      <c r="G91" s="612" t="str">
        <f>BIBLE!V132</f>
        <v>Interférence lien affectif ou symbolique</v>
      </c>
      <c r="H91" s="1876"/>
      <c r="I91" s="618"/>
      <c r="J91" s="618"/>
      <c r="K91" s="1958"/>
      <c r="L91" s="1958"/>
      <c r="M91" s="618"/>
      <c r="N91" s="618"/>
      <c r="O91" s="618"/>
      <c r="P91" s="618"/>
      <c r="Q91" s="1958"/>
      <c r="R91" s="1958"/>
      <c r="S91" s="618"/>
      <c r="T91" s="618"/>
      <c r="U91" s="1186" t="str">
        <f>BIBLE!E66</f>
        <v>PCR12</v>
      </c>
      <c r="V91" s="1230" t="str">
        <f>BIBLE!F66</f>
        <v>Il vous arrive de prendre des décisions sans consulter l'autre parent.</v>
      </c>
      <c r="W91" s="1904">
        <f>Test_Bible!P140</f>
        <v>2</v>
      </c>
      <c r="X91" s="1667">
        <f>Test_Bible!D140</f>
        <v>2</v>
      </c>
      <c r="Y91" s="2001" t="str">
        <f>BIBLE!V66</f>
        <v>Interférence lien affectif ou symbolique</v>
      </c>
    </row>
    <row r="92" spans="1:25" ht="12" customHeight="1" thickBot="1" x14ac:dyDescent="0.25">
      <c r="A92" s="2033"/>
      <c r="B92"/>
      <c r="D92" s="291"/>
      <c r="G92" s="757"/>
      <c r="U92" s="1180"/>
      <c r="V92" s="1229"/>
      <c r="W92" s="1180"/>
      <c r="X92" s="1180"/>
      <c r="Y92" s="707"/>
    </row>
    <row r="93" spans="1:25" ht="63" customHeight="1" thickBot="1" x14ac:dyDescent="0.25">
      <c r="A93" s="2033">
        <v>31</v>
      </c>
      <c r="B93" s="1317" t="s">
        <v>1024</v>
      </c>
      <c r="C93" s="612" t="str">
        <f>BIBLE!E80</f>
        <v>PFA00</v>
      </c>
      <c r="D93" s="616" t="str">
        <f>BIBLE!F80</f>
        <v>L'autre parent (coparent) accepte de faire des compromis afin d'assurer une bonne entente de garde.</v>
      </c>
      <c r="E93" s="1898">
        <f>Test_Bible!P163</f>
        <v>10</v>
      </c>
      <c r="F93" s="612">
        <f>Test_Bible!D163</f>
        <v>1</v>
      </c>
      <c r="G93" s="1891" t="str">
        <f>BIBLE!V80</f>
        <v>Chantage affectif, manipulation</v>
      </c>
      <c r="H93" s="1876"/>
      <c r="I93" s="618"/>
      <c r="J93" s="618"/>
      <c r="K93" s="1958"/>
      <c r="L93" s="1958"/>
      <c r="M93" s="618"/>
      <c r="N93" s="618"/>
      <c r="O93" s="618"/>
      <c r="P93" s="618"/>
      <c r="Q93" s="1958"/>
      <c r="R93" s="1958"/>
      <c r="S93" s="618"/>
      <c r="T93" s="618"/>
      <c r="U93" s="1933" t="str">
        <f>BIBLE!E55</f>
        <v>PCR02</v>
      </c>
      <c r="V93" s="1933" t="str">
        <f>BIBLE!F55</f>
        <v>Vous devez faire des compromis afin d'assurer une bonne entente de garde.</v>
      </c>
      <c r="W93" s="1903">
        <f>Test_Bible!P123</f>
        <v>10</v>
      </c>
      <c r="X93" s="1877">
        <f>Test_Bible!D123</f>
        <v>1</v>
      </c>
      <c r="Y93" s="1879" t="str">
        <f>BIBLE!V55</f>
        <v>Chantage affectif, manipulation</v>
      </c>
    </row>
    <row r="94" spans="1:25" ht="17" customHeight="1" thickBot="1" x14ac:dyDescent="0.25">
      <c r="A94" s="2033"/>
      <c r="B94" s="1319"/>
      <c r="C94" s="1426"/>
      <c r="D94" s="1669"/>
      <c r="E94" s="1900"/>
      <c r="F94" s="1900"/>
      <c r="G94" s="1883"/>
      <c r="V94" s="1916"/>
      <c r="Y94" s="757"/>
    </row>
    <row r="95" spans="1:25" ht="71" customHeight="1" thickBot="1" x14ac:dyDescent="0.25">
      <c r="A95" s="2033">
        <v>32</v>
      </c>
      <c r="B95" s="1317" t="s">
        <v>1041</v>
      </c>
      <c r="C95" s="631" t="str">
        <f>BIBLE!E31</f>
        <v>B11a1</v>
      </c>
      <c r="D95" s="1150" t="str">
        <f>BIBLE!F31</f>
        <v>Est-ce que l'autre parent (coparent) respecte les ordonnances ou les jugements de la Cour ?</v>
      </c>
      <c r="E95" s="1901">
        <f>Test_Bible!P56</f>
        <v>0</v>
      </c>
      <c r="F95" s="631">
        <f>Test_Bible!D56</f>
        <v>2</v>
      </c>
      <c r="G95" s="1892" t="str">
        <f>BIBLE!V31</f>
        <v>Interférence temps et/ou communication</v>
      </c>
      <c r="H95" s="1318"/>
      <c r="I95" s="618"/>
      <c r="J95" s="618"/>
      <c r="K95" s="1958"/>
      <c r="L95" s="1958"/>
      <c r="M95" s="618"/>
      <c r="N95" s="618"/>
      <c r="O95" s="618"/>
      <c r="P95" s="618"/>
      <c r="Q95" s="1958"/>
      <c r="R95" s="1958"/>
      <c r="S95" s="618"/>
      <c r="T95" s="618"/>
      <c r="U95" s="1933" t="str">
        <f>BIBLE!E32</f>
        <v>B11b</v>
      </c>
      <c r="V95" s="1933" t="str">
        <f>BIBLE!F32</f>
        <v>De votre côté-vous, respectez-vous les ordonnances et l'entente de garde ?</v>
      </c>
      <c r="W95" s="1903">
        <f>Test_Bible!P57</f>
        <v>0</v>
      </c>
      <c r="X95" s="1877">
        <f>Test_Bible!D57</f>
        <v>2</v>
      </c>
      <c r="Y95" s="1882" t="str">
        <f>BIBLE!V32</f>
        <v>Interférence temps et/ou communication</v>
      </c>
    </row>
    <row r="96" spans="1:25" ht="12" customHeight="1" x14ac:dyDescent="0.35">
      <c r="B96" s="1319"/>
      <c r="C96" s="1426"/>
      <c r="D96" s="1669"/>
      <c r="E96" s="1900"/>
      <c r="F96" s="1900"/>
      <c r="G96" s="1883"/>
      <c r="H96" s="1320"/>
      <c r="U96" s="1426"/>
      <c r="V96" s="1669"/>
      <c r="W96" s="1900"/>
      <c r="X96" s="1900"/>
      <c r="Y96" s="1883"/>
    </row>
    <row r="97" spans="1:29" ht="94" customHeight="1" thickBot="1" x14ac:dyDescent="0.4">
      <c r="B97" s="746" t="s">
        <v>1819</v>
      </c>
    </row>
    <row r="98" spans="1:29" ht="66" customHeight="1" thickBot="1" x14ac:dyDescent="0.25">
      <c r="A98" s="2033">
        <v>33</v>
      </c>
      <c r="B98" s="629" t="s">
        <v>1813</v>
      </c>
      <c r="C98" s="612" t="str">
        <f>BIBLE!E120</f>
        <v>PFA40</v>
      </c>
      <c r="D98" s="616" t="str">
        <f>BIBLE!F120</f>
        <v>L'autre parent sent qu’il est en compétition avec vous pour l’amour de votre enfant.</v>
      </c>
      <c r="E98" s="1898">
        <f>Test_Bible!P206</f>
        <v>7</v>
      </c>
      <c r="F98" s="612">
        <f>Test_Bible!D206</f>
        <v>2</v>
      </c>
      <c r="G98" s="640" t="str">
        <f>BIBLE!V120</f>
        <v>Interférence lien affectif ou symbolique</v>
      </c>
      <c r="H98" s="1152"/>
      <c r="I98" s="1936"/>
      <c r="J98" s="618"/>
      <c r="K98" s="1958"/>
      <c r="L98" s="1958"/>
      <c r="M98" s="618"/>
      <c r="N98" s="618"/>
      <c r="O98" s="618"/>
      <c r="P98" s="618"/>
      <c r="Q98" s="1958"/>
      <c r="R98" s="1958"/>
      <c r="S98" s="618"/>
      <c r="T98" s="618"/>
      <c r="U98" s="618"/>
      <c r="V98" s="618"/>
      <c r="W98" s="1958"/>
      <c r="X98" s="1958"/>
      <c r="Y98" s="1945"/>
    </row>
    <row r="99" spans="1:29" ht="30" thickBot="1" x14ac:dyDescent="0.25">
      <c r="A99" s="2033"/>
      <c r="C99" s="16"/>
      <c r="D99" s="25"/>
      <c r="F99" s="466"/>
      <c r="G99" s="498"/>
      <c r="H99" s="272"/>
      <c r="I99" s="1147"/>
    </row>
    <row r="100" spans="1:29" ht="83" customHeight="1" thickBot="1" x14ac:dyDescent="0.25">
      <c r="A100" s="2033">
        <v>34</v>
      </c>
      <c r="B100" s="629" t="s">
        <v>1825</v>
      </c>
      <c r="C100" s="619"/>
      <c r="D100" s="647"/>
      <c r="E100" s="1958"/>
      <c r="F100" s="1961"/>
      <c r="G100" s="618"/>
      <c r="H100" s="618"/>
      <c r="I100" s="618"/>
      <c r="J100" s="618"/>
      <c r="K100" s="1958"/>
      <c r="L100" s="1958"/>
      <c r="M100" s="618"/>
      <c r="N100" s="618"/>
      <c r="O100" s="1187" t="str">
        <f>BIBLE!E166</f>
        <v>E10</v>
      </c>
      <c r="P100" s="1666" t="str">
        <f>BIBLE!F166</f>
        <v>Votre enfant cherche à vous convaincre des qualités de l’autre parent.</v>
      </c>
      <c r="Q100" s="1987">
        <f>Test_Bible!P283</f>
        <v>2</v>
      </c>
      <c r="R100" s="1187">
        <f>Test_Bible!D283</f>
        <v>2</v>
      </c>
      <c r="S100" s="2027" t="str">
        <f>BIBLE!V166</f>
        <v>Chantage affectif, manipulation</v>
      </c>
      <c r="T100" s="618"/>
      <c r="U100" s="618"/>
      <c r="V100" s="618"/>
      <c r="W100" s="1958"/>
      <c r="X100" s="1958"/>
      <c r="Y100" s="1945"/>
    </row>
    <row r="101" spans="1:29" ht="29" customHeight="1" thickBot="1" x14ac:dyDescent="0.25">
      <c r="A101" s="2033"/>
      <c r="C101" s="16"/>
      <c r="D101" s="25"/>
      <c r="F101" s="466"/>
      <c r="O101" s="498"/>
      <c r="P101" s="41"/>
      <c r="Q101" s="2026"/>
      <c r="R101" s="498"/>
      <c r="S101" s="1147"/>
    </row>
    <row r="102" spans="1:29" ht="37" customHeight="1" x14ac:dyDescent="0.2">
      <c r="A102" s="2033">
        <v>35</v>
      </c>
      <c r="B102" s="623" t="s">
        <v>1826</v>
      </c>
      <c r="C102" s="611"/>
      <c r="D102" s="686"/>
      <c r="E102" s="1938"/>
      <c r="F102" s="1959"/>
      <c r="G102" s="626"/>
      <c r="H102" s="626"/>
      <c r="I102" s="626"/>
      <c r="J102" s="626"/>
      <c r="K102" s="1938"/>
      <c r="L102" s="1938"/>
      <c r="M102" s="626"/>
      <c r="N102" s="626"/>
      <c r="O102" s="1141" t="str">
        <f>BIBLE!E156</f>
        <v>E04</v>
      </c>
      <c r="P102" s="1934" t="str">
        <f>BIBLE!F156</f>
        <v>Votre enfant défend l'autre parent, quoi que vous fassiez, quoi que vous disiez.</v>
      </c>
      <c r="Q102" s="1991">
        <f>Test_Bible!P269</f>
        <v>0</v>
      </c>
      <c r="R102" s="1141">
        <f>Test_Bible!D269</f>
        <v>2</v>
      </c>
      <c r="S102" s="2028" t="str">
        <f>BIBLE!V156</f>
        <v>A:Alliance</v>
      </c>
      <c r="T102" s="626"/>
      <c r="U102" s="626"/>
      <c r="V102" s="626"/>
      <c r="W102" s="1938"/>
      <c r="X102" s="1938"/>
      <c r="Y102" s="1158"/>
    </row>
    <row r="103" spans="1:29" ht="43" customHeight="1" x14ac:dyDescent="0.2">
      <c r="A103" s="2033"/>
      <c r="B103" s="677"/>
      <c r="C103" s="16"/>
      <c r="D103" s="25"/>
      <c r="F103" s="466"/>
      <c r="O103" s="1944" t="str">
        <f>BIBLE!E157</f>
        <v>E04a</v>
      </c>
      <c r="P103" s="1953" t="str">
        <f>BIBLE!F157</f>
        <v>Aux yeux de votre enfant, tout ce que fait l'autre parent est bien, voire parfait, et tout ce que vous faites est mauvais ou sujet à critiques.</v>
      </c>
      <c r="Q103" s="1990">
        <f>Test_Bible!P270</f>
        <v>0</v>
      </c>
      <c r="R103" s="1944">
        <f>Test_Bible!D270</f>
        <v>3</v>
      </c>
      <c r="S103" s="1943" t="str">
        <f>BIBLE!V157</f>
        <v>A:Alliance</v>
      </c>
      <c r="Y103" s="292"/>
    </row>
    <row r="104" spans="1:29" ht="40" customHeight="1" thickBot="1" x14ac:dyDescent="0.25">
      <c r="A104" s="2033"/>
      <c r="B104" s="627"/>
      <c r="C104" s="615"/>
      <c r="D104" s="1216"/>
      <c r="E104" s="1957"/>
      <c r="F104" s="1960"/>
      <c r="G104" s="294"/>
      <c r="H104" s="294"/>
      <c r="I104" s="294"/>
      <c r="J104" s="294"/>
      <c r="K104" s="1957"/>
      <c r="L104" s="1957"/>
      <c r="M104" s="294"/>
      <c r="N104" s="294"/>
      <c r="O104" s="1145" t="str">
        <f>BIBLE!E158</f>
        <v>E04a1</v>
      </c>
      <c r="P104" s="1954" t="str">
        <f>BIBLE!F158</f>
        <v>Votre enfant calque les désirs et les paroles de l’autre parent.</v>
      </c>
      <c r="Q104" s="1145">
        <f>Test_Bible!P271</f>
        <v>0</v>
      </c>
      <c r="R104" s="1145">
        <f>Test_Bible!D271</f>
        <v>3</v>
      </c>
      <c r="S104" s="1946" t="str">
        <f>BIBLE!V158</f>
        <v>Rôle actif de l'enfant</v>
      </c>
      <c r="T104" s="294"/>
      <c r="U104" s="294"/>
      <c r="V104" s="294"/>
      <c r="W104" s="1957"/>
      <c r="X104" s="1957"/>
      <c r="Y104" s="295"/>
    </row>
    <row r="105" spans="1:29" ht="30" thickBot="1" x14ac:dyDescent="0.25">
      <c r="A105" s="2033"/>
      <c r="C105" s="16"/>
      <c r="D105" s="25"/>
      <c r="F105" s="466"/>
    </row>
    <row r="106" spans="1:29" ht="47" customHeight="1" thickBot="1" x14ac:dyDescent="0.25">
      <c r="A106" s="2033">
        <v>36</v>
      </c>
      <c r="B106" s="629" t="s">
        <v>1815</v>
      </c>
      <c r="C106" s="619"/>
      <c r="D106" s="647"/>
      <c r="E106" s="1958"/>
      <c r="F106" s="1961"/>
      <c r="G106" s="618"/>
      <c r="H106" s="618"/>
      <c r="I106" s="618"/>
      <c r="J106" s="618"/>
      <c r="K106" s="1958"/>
      <c r="L106" s="1958"/>
      <c r="M106" s="618"/>
      <c r="N106" s="618"/>
      <c r="O106" s="1187" t="str">
        <f>BIBLE!E159</f>
        <v>E05</v>
      </c>
      <c r="P106" s="1666" t="str">
        <f>BIBLE!F159</f>
        <v>Votre enfant s’exprime avec des expressions ou des paroles empruntées à l’autre parent.</v>
      </c>
      <c r="Q106" s="1987">
        <f>Test_Bible!P272</f>
        <v>2</v>
      </c>
      <c r="R106" s="1187">
        <f>Test_Bible!D272</f>
        <v>2</v>
      </c>
      <c r="S106" s="1947" t="str">
        <f>BIBLE!V159</f>
        <v>A:Alliance</v>
      </c>
      <c r="T106" s="618"/>
      <c r="U106" s="618"/>
      <c r="V106" s="618"/>
      <c r="W106" s="1958"/>
      <c r="X106" s="1958"/>
      <c r="Y106" s="1945"/>
    </row>
    <row r="107" spans="1:29" ht="30" thickBot="1" x14ac:dyDescent="0.25">
      <c r="A107" s="2033"/>
      <c r="C107" s="16"/>
      <c r="D107" s="25"/>
      <c r="F107" s="466"/>
      <c r="O107" s="498"/>
      <c r="P107" s="41"/>
      <c r="Q107" s="16"/>
      <c r="R107" s="16"/>
      <c r="S107" s="1147"/>
    </row>
    <row r="108" spans="1:29" ht="47" customHeight="1" x14ac:dyDescent="0.2">
      <c r="A108" s="2033">
        <v>37</v>
      </c>
      <c r="B108" s="623" t="s">
        <v>1814</v>
      </c>
      <c r="C108" s="611"/>
      <c r="D108" s="686"/>
      <c r="E108" s="1938"/>
      <c r="F108" s="1959"/>
      <c r="G108" s="626"/>
      <c r="H108" s="626"/>
      <c r="I108" s="626"/>
      <c r="J108" s="626"/>
      <c r="K108" s="1938"/>
      <c r="L108" s="1938"/>
      <c r="M108" s="626"/>
      <c r="N108" s="626"/>
      <c r="O108" s="1141" t="str">
        <f>BIBLE!E195</f>
        <v>E29</v>
      </c>
      <c r="P108" s="1934" t="str">
        <f>BIBLE!F195</f>
        <v>Dans quelle mesure diriez-vous que votre enfant adapte ses champs d’intérêts pour partager les intérêts de l’autre parent ?</v>
      </c>
      <c r="Q108" s="1991">
        <f>Test_Bible!P322</f>
        <v>1</v>
      </c>
      <c r="R108" s="1141">
        <f>Test_Bible!D322</f>
        <v>2</v>
      </c>
      <c r="S108" s="1948" t="str">
        <f>BIBLE!V195</f>
        <v>Rôle actif de l'enfant</v>
      </c>
      <c r="T108" s="626"/>
      <c r="U108" s="626"/>
      <c r="V108" s="626"/>
      <c r="W108" s="1938"/>
      <c r="X108" s="1938"/>
      <c r="Y108" s="1158"/>
    </row>
    <row r="109" spans="1:29" ht="36" customHeight="1" thickBot="1" x14ac:dyDescent="0.25">
      <c r="A109" s="2033"/>
      <c r="B109" s="627"/>
      <c r="C109" s="615"/>
      <c r="D109" s="1216"/>
      <c r="E109" s="1957"/>
      <c r="F109" s="1960"/>
      <c r="G109" s="294"/>
      <c r="H109" s="294"/>
      <c r="I109" s="294"/>
      <c r="J109" s="294"/>
      <c r="K109" s="1957"/>
      <c r="L109" s="1957"/>
      <c r="M109" s="294"/>
      <c r="N109" s="294"/>
      <c r="O109" s="1159" t="str">
        <f>BIBLE!E196</f>
        <v>E29a</v>
      </c>
      <c r="P109" s="1955" t="str">
        <f>BIBLE!F196</f>
        <v>Dans quelle mesure diriez-vous que votre enfant rejette vos valeurs et vos champs d’intérêts.</v>
      </c>
      <c r="Q109" s="643">
        <f>Test_Bible!P323</f>
        <v>0</v>
      </c>
      <c r="R109" s="643">
        <f>Test_Bible!D323</f>
        <v>3</v>
      </c>
      <c r="S109" s="1949" t="str">
        <f>BIBLE!V196</f>
        <v>Rôle actif de l'enfant</v>
      </c>
      <c r="T109" s="294"/>
      <c r="U109" s="294"/>
      <c r="V109" s="294"/>
      <c r="W109" s="1957"/>
      <c r="X109" s="1957"/>
      <c r="Y109" s="295"/>
    </row>
    <row r="111" spans="1:29" x14ac:dyDescent="0.35">
      <c r="AA111" s="288" t="s">
        <v>1312</v>
      </c>
      <c r="AB111" s="288"/>
      <c r="AC111" s="288" t="s">
        <v>1313</v>
      </c>
    </row>
    <row r="112" spans="1:29" x14ac:dyDescent="0.35">
      <c r="AA112" s="13" t="s">
        <v>1131</v>
      </c>
      <c r="AC112" s="834" t="s">
        <v>1257</v>
      </c>
    </row>
    <row r="113" spans="27:29" ht="37" x14ac:dyDescent="0.35">
      <c r="AA113" s="13" t="s">
        <v>1132</v>
      </c>
      <c r="AC113" s="834" t="s">
        <v>1258</v>
      </c>
    </row>
    <row r="114" spans="27:29" ht="37" x14ac:dyDescent="0.35">
      <c r="AA114" s="13" t="s">
        <v>1133</v>
      </c>
      <c r="AC114" s="834" t="s">
        <v>1311</v>
      </c>
    </row>
    <row r="115" spans="27:29" ht="37" x14ac:dyDescent="0.35">
      <c r="AA115" s="13" t="s">
        <v>1134</v>
      </c>
      <c r="AC115" s="834" t="s">
        <v>1306</v>
      </c>
    </row>
    <row r="116" spans="27:29" x14ac:dyDescent="0.35">
      <c r="AA116" s="13" t="s">
        <v>1135</v>
      </c>
      <c r="AC116" s="834" t="s">
        <v>1307</v>
      </c>
    </row>
    <row r="117" spans="27:29" ht="37" x14ac:dyDescent="0.35">
      <c r="AA117" s="13" t="s">
        <v>1136</v>
      </c>
      <c r="AC117" s="834" t="s">
        <v>1308</v>
      </c>
    </row>
    <row r="118" spans="27:29" ht="37" x14ac:dyDescent="0.35">
      <c r="AA118" s="13" t="s">
        <v>1137</v>
      </c>
      <c r="AC118" s="834" t="s">
        <v>1309</v>
      </c>
    </row>
    <row r="119" spans="27:29" x14ac:dyDescent="0.35">
      <c r="AA119" s="13"/>
      <c r="AC119" s="834" t="s">
        <v>1310</v>
      </c>
    </row>
  </sheetData>
  <pageMargins left="0.7" right="0.7" top="0.75" bottom="0.75" header="0.3" footer="0.3"/>
  <pageSetup scale="30" fitToHeight="4" orientation="landscape"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topLeftCell="A53" workbookViewId="0">
      <selection activeCell="C61" sqref="C61:O61"/>
    </sheetView>
  </sheetViews>
  <sheetFormatPr baseColWidth="10" defaultColWidth="11" defaultRowHeight="40" customHeight="1" x14ac:dyDescent="0.2"/>
  <cols>
    <col min="1" max="1" width="20.33203125" style="8" customWidth="1"/>
    <col min="2" max="2" width="8.5" style="1098" bestFit="1" customWidth="1"/>
    <col min="3" max="3" width="63" style="17" customWidth="1"/>
    <col min="4" max="4" width="77.6640625" style="17" bestFit="1" customWidth="1"/>
    <col min="5" max="5" width="10.83203125" style="109" hidden="1" customWidth="1"/>
    <col min="6" max="6" width="14" style="109" hidden="1" customWidth="1"/>
    <col min="7" max="7" width="14.83203125" style="109" hidden="1" customWidth="1"/>
    <col min="8" max="8" width="65.5" style="547" hidden="1" customWidth="1"/>
    <col min="9" max="10" width="11.6640625" style="109" hidden="1" customWidth="1"/>
    <col min="11" max="11" width="19.33203125" bestFit="1" customWidth="1"/>
    <col min="12" max="15" width="20.1640625" customWidth="1"/>
  </cols>
  <sheetData>
    <row r="1" spans="1:15" ht="78" customHeight="1" x14ac:dyDescent="0.2">
      <c r="A1" s="1060"/>
      <c r="B1" s="1061"/>
      <c r="C1" s="1062" t="s">
        <v>748</v>
      </c>
      <c r="D1" s="1062"/>
      <c r="E1" s="1063" t="s">
        <v>747</v>
      </c>
      <c r="F1" s="1064" t="s">
        <v>484</v>
      </c>
      <c r="G1" s="466" t="s">
        <v>225</v>
      </c>
      <c r="H1" s="1065" t="s">
        <v>757</v>
      </c>
      <c r="I1" s="1066" t="s">
        <v>226</v>
      </c>
      <c r="J1" s="1066" t="s">
        <v>321</v>
      </c>
      <c r="K1" s="2655" t="s">
        <v>758</v>
      </c>
      <c r="L1" s="2655"/>
      <c r="M1" s="2655"/>
      <c r="N1" s="2655"/>
      <c r="O1" s="2655"/>
    </row>
    <row r="2" spans="1:15" ht="78" customHeight="1" x14ac:dyDescent="0.2">
      <c r="A2" s="1060"/>
      <c r="B2" s="1061"/>
      <c r="C2" s="1062"/>
      <c r="D2" s="1062"/>
      <c r="E2" s="1063"/>
      <c r="F2" s="1064"/>
      <c r="G2" s="466"/>
      <c r="H2" s="1065"/>
      <c r="I2" s="466"/>
      <c r="J2" s="466"/>
      <c r="K2" s="1105" t="s">
        <v>762</v>
      </c>
      <c r="L2" s="1105" t="s">
        <v>764</v>
      </c>
      <c r="M2" s="1105" t="s">
        <v>759</v>
      </c>
      <c r="N2" s="1105" t="s">
        <v>760</v>
      </c>
      <c r="O2" s="1105" t="s">
        <v>761</v>
      </c>
    </row>
    <row r="3" spans="1:15" ht="50" customHeight="1" x14ac:dyDescent="0.2">
      <c r="A3" s="61" t="s">
        <v>32</v>
      </c>
      <c r="B3" s="1058"/>
      <c r="C3" s="272"/>
      <c r="D3" s="272"/>
      <c r="E3" s="466"/>
      <c r="F3" s="466"/>
      <c r="G3" s="466"/>
      <c r="I3" s="466"/>
      <c r="J3" s="466"/>
    </row>
    <row r="4" spans="1:15" ht="102" x14ac:dyDescent="0.2">
      <c r="A4" s="505"/>
      <c r="B4" s="1206" t="str">
        <f>BIBLE!E20</f>
        <v>B00</v>
      </c>
      <c r="C4" s="1206" t="str">
        <f>BIBLE!F20</f>
        <v xml:space="preserve">Identification: Qui êtes-vous ? </v>
      </c>
      <c r="D4" s="1106" t="s">
        <v>479</v>
      </c>
      <c r="E4" s="466">
        <v>0</v>
      </c>
      <c r="F4" s="466"/>
      <c r="G4" s="466"/>
      <c r="I4" s="466"/>
      <c r="J4" s="466"/>
      <c r="K4" s="1099"/>
      <c r="L4" s="1099" t="s">
        <v>763</v>
      </c>
      <c r="M4" s="1100"/>
      <c r="N4" s="1100"/>
      <c r="O4" s="1100"/>
    </row>
    <row r="5" spans="1:15" ht="51" x14ac:dyDescent="0.2">
      <c r="A5" s="505"/>
      <c r="B5" s="1206" t="str">
        <f>BIBLE!E21</f>
        <v>B01</v>
      </c>
      <c r="C5" s="1206" t="str">
        <f>BIBLE!F21</f>
        <v>Vous répondez à ce questionnaire au nom de ?</v>
      </c>
      <c r="D5" s="1107" t="s">
        <v>480</v>
      </c>
      <c r="E5" s="580">
        <v>0</v>
      </c>
      <c r="F5" s="580"/>
      <c r="G5" s="466" t="s">
        <v>19</v>
      </c>
      <c r="I5" s="466"/>
      <c r="J5" s="466"/>
      <c r="K5" s="1099"/>
      <c r="L5" s="1099" t="s">
        <v>763</v>
      </c>
      <c r="M5" s="1100"/>
      <c r="N5" s="1100"/>
      <c r="O5" s="1099" t="s">
        <v>763</v>
      </c>
    </row>
    <row r="6" spans="1:15" ht="44" customHeight="1" x14ac:dyDescent="0.2">
      <c r="A6" s="505"/>
      <c r="B6" s="1206" t="str">
        <f>BIBLE!E22</f>
        <v>B02</v>
      </c>
      <c r="C6" s="1206" t="str">
        <f>BIBLE!F22</f>
        <v>Souhaitez-vous faire une analyse au présent ou de manière rétrospective ?</v>
      </c>
      <c r="D6" s="1107" t="s">
        <v>994</v>
      </c>
      <c r="E6" s="580"/>
      <c r="F6" s="580"/>
      <c r="G6" s="466"/>
      <c r="I6" s="466"/>
      <c r="J6" s="466"/>
      <c r="K6" s="1099" t="s">
        <v>763</v>
      </c>
      <c r="L6" s="1099"/>
      <c r="M6" s="1100"/>
      <c r="N6" s="1100"/>
      <c r="O6" s="1099"/>
    </row>
    <row r="7" spans="1:15" ht="85" x14ac:dyDescent="0.2">
      <c r="A7" s="505"/>
      <c r="B7" s="1206" t="str">
        <f>BIBLE!E23</f>
        <v>B03</v>
      </c>
      <c r="C7" s="1206" t="str">
        <f>BIBLE!F23</f>
        <v xml:space="preserve">Quelle a été la durée de vie commune avec l'autre parent (coparent) ?
</v>
      </c>
      <c r="D7" s="1107" t="s">
        <v>494</v>
      </c>
      <c r="E7" s="580">
        <v>0</v>
      </c>
      <c r="F7" s="580"/>
      <c r="G7" s="466" t="s">
        <v>19</v>
      </c>
      <c r="I7" s="466"/>
      <c r="J7" s="466"/>
      <c r="K7" s="1100"/>
      <c r="L7" s="1099" t="s">
        <v>763</v>
      </c>
      <c r="M7" s="1100"/>
      <c r="N7" s="1100"/>
      <c r="O7" s="1099" t="s">
        <v>763</v>
      </c>
    </row>
    <row r="8" spans="1:15" ht="85" x14ac:dyDescent="0.2">
      <c r="A8" s="505"/>
      <c r="B8" s="1206" t="str">
        <f>BIBLE!E24</f>
        <v>B04</v>
      </c>
      <c r="C8" s="1206" t="str">
        <f>BIBLE!F24</f>
        <v xml:space="preserve">Depuis combien de temps êtes vous séparé·e de l'autre parent (coparent) ? </v>
      </c>
      <c r="D8" s="1107" t="s">
        <v>376</v>
      </c>
      <c r="E8" s="580">
        <v>0</v>
      </c>
      <c r="F8" s="580"/>
      <c r="G8" s="466" t="s">
        <v>19</v>
      </c>
      <c r="I8" s="466"/>
      <c r="J8" s="466"/>
      <c r="K8" s="1099" t="s">
        <v>763</v>
      </c>
      <c r="L8" s="1099" t="s">
        <v>763</v>
      </c>
      <c r="M8" s="1100"/>
      <c r="N8" s="1099" t="s">
        <v>763</v>
      </c>
      <c r="O8" s="1099" t="s">
        <v>763</v>
      </c>
    </row>
    <row r="9" spans="1:15" ht="68" x14ac:dyDescent="0.2">
      <c r="A9" s="505"/>
      <c r="B9" s="1206" t="str">
        <f>BIBLE!E25</f>
        <v>B05</v>
      </c>
      <c r="C9" s="1206" t="str">
        <f>BIBLE!F25</f>
        <v>Combien d'enfants compte la fratrie ?</v>
      </c>
      <c r="D9" s="1107" t="s">
        <v>775</v>
      </c>
      <c r="E9" s="580"/>
      <c r="F9" s="580"/>
      <c r="G9" s="466"/>
      <c r="I9" s="466"/>
      <c r="J9" s="466"/>
      <c r="K9" s="1099"/>
      <c r="L9" s="1099" t="s">
        <v>763</v>
      </c>
      <c r="M9" s="1100"/>
      <c r="N9" s="1099"/>
      <c r="O9" s="1099"/>
    </row>
    <row r="10" spans="1:15" ht="40" customHeight="1" x14ac:dyDescent="0.2">
      <c r="A10" s="505"/>
      <c r="B10" s="1206" t="str">
        <f>BIBLE!E26</f>
        <v>B06</v>
      </c>
      <c r="C10" s="1206" t="str">
        <f>BIBLE!F26</f>
        <v>Quel âge a l'enfant qui fait l'objet de l'analyse ?</v>
      </c>
      <c r="D10" s="1106" t="s">
        <v>768</v>
      </c>
      <c r="E10" s="580">
        <v>0</v>
      </c>
      <c r="F10" s="580"/>
      <c r="G10" s="466" t="s">
        <v>19</v>
      </c>
      <c r="I10" s="466"/>
      <c r="J10" s="466"/>
      <c r="K10" s="1099" t="s">
        <v>763</v>
      </c>
      <c r="L10" s="1099" t="s">
        <v>763</v>
      </c>
      <c r="M10" s="1100"/>
      <c r="N10" s="1099" t="s">
        <v>763</v>
      </c>
      <c r="O10" s="1099" t="s">
        <v>763</v>
      </c>
    </row>
    <row r="11" spans="1:15" ht="51" x14ac:dyDescent="0.2">
      <c r="A11" s="505"/>
      <c r="B11" s="1206" t="str">
        <f>BIBLE!E27</f>
        <v>B07</v>
      </c>
      <c r="C11" s="1206" t="str">
        <f>BIBLE!F27</f>
        <v xml:space="preserve">Quelle est votre situation familiale actuelle ? </v>
      </c>
      <c r="D11" s="1107" t="s">
        <v>460</v>
      </c>
      <c r="E11" s="580">
        <v>0</v>
      </c>
      <c r="F11" s="580"/>
      <c r="G11" s="466" t="s">
        <v>19</v>
      </c>
      <c r="I11" s="466"/>
      <c r="J11" s="466"/>
      <c r="K11" s="1099" t="s">
        <v>763</v>
      </c>
      <c r="L11" s="1099" t="s">
        <v>763</v>
      </c>
      <c r="M11" s="1100"/>
      <c r="N11" s="1100"/>
      <c r="O11" s="1100"/>
    </row>
    <row r="12" spans="1:15" ht="51" x14ac:dyDescent="0.2">
      <c r="A12" s="505"/>
      <c r="B12" s="1206" t="str">
        <f>BIBLE!E28</f>
        <v>B08</v>
      </c>
      <c r="C12" s="1206" t="str">
        <f>BIBLE!F28</f>
        <v xml:space="preserve">Quelle est la situation familiale actuelle de l'autre parent (coparent) ?
</v>
      </c>
      <c r="D12" s="1107" t="s">
        <v>374</v>
      </c>
      <c r="E12" s="580">
        <v>0</v>
      </c>
      <c r="F12" s="580"/>
      <c r="G12" s="466" t="s">
        <v>19</v>
      </c>
      <c r="I12" s="466"/>
      <c r="J12" s="466"/>
      <c r="K12" s="1099" t="s">
        <v>763</v>
      </c>
      <c r="L12" s="1099" t="s">
        <v>763</v>
      </c>
      <c r="M12" s="1100"/>
      <c r="N12" s="1100"/>
      <c r="O12" s="1100"/>
    </row>
    <row r="13" spans="1:15" ht="40" customHeight="1" x14ac:dyDescent="0.2">
      <c r="A13" s="505"/>
      <c r="B13" s="1206" t="str">
        <f>BIBLE!E29</f>
        <v>B11</v>
      </c>
      <c r="C13" s="1206" t="str">
        <f>BIBLE!F29</f>
        <v>Dans quelle mesure l'entente de garde et/ou les droits d'accès sont-ils respectés ?</v>
      </c>
      <c r="D13" s="1108"/>
      <c r="E13" s="548">
        <v>3</v>
      </c>
      <c r="F13" s="548"/>
      <c r="G13" s="466" t="s">
        <v>43</v>
      </c>
      <c r="H13" s="545" t="s">
        <v>12</v>
      </c>
      <c r="I13" s="1068">
        <f>Test_Bible!P53</f>
        <v>2</v>
      </c>
      <c r="J13" s="1068">
        <f>Test_Bible!Q53</f>
        <v>6</v>
      </c>
      <c r="K13" s="1101"/>
      <c r="L13" s="1101"/>
      <c r="M13" s="1101"/>
      <c r="N13" s="1101"/>
      <c r="O13" s="1101"/>
    </row>
    <row r="14" spans="1:15" ht="40" customHeight="1" x14ac:dyDescent="0.2">
      <c r="A14" s="505"/>
      <c r="B14" s="1207" t="str">
        <f>BIBLE!E30</f>
        <v>B11a</v>
      </c>
      <c r="C14" s="1207" t="str">
        <f>BIBLE!F30</f>
        <v>Un jugement concernant la garde des enfants a-t-il été rendu par le tribunal ?</v>
      </c>
      <c r="D14" s="1109" t="s">
        <v>766</v>
      </c>
      <c r="E14" s="1069">
        <v>0</v>
      </c>
      <c r="F14" s="1069"/>
      <c r="G14" s="466" t="s">
        <v>46</v>
      </c>
      <c r="I14" s="466"/>
      <c r="J14" s="466"/>
      <c r="K14" s="1099" t="s">
        <v>763</v>
      </c>
      <c r="L14" s="1100"/>
      <c r="M14" s="1100"/>
      <c r="N14" s="1099"/>
      <c r="O14" s="1100"/>
    </row>
    <row r="15" spans="1:15" ht="40" customHeight="1" x14ac:dyDescent="0.2">
      <c r="A15" s="505"/>
      <c r="B15" s="1207" t="str">
        <f>BIBLE!E31</f>
        <v>B11a1</v>
      </c>
      <c r="C15" s="1207" t="str">
        <f>BIBLE!F31</f>
        <v>Est-ce que l'autre parent (coparent) respecte les ordonnances ou les jugements de la Cour ?</v>
      </c>
      <c r="D15" s="1109"/>
      <c r="E15" s="549">
        <v>2</v>
      </c>
      <c r="F15" s="549"/>
      <c r="G15" s="466" t="s">
        <v>43</v>
      </c>
      <c r="H15" s="545" t="s">
        <v>12</v>
      </c>
      <c r="I15" s="1068">
        <f>Test_Bible!P56</f>
        <v>0</v>
      </c>
      <c r="J15" s="1068">
        <f>Test_Bible!Q56</f>
        <v>0</v>
      </c>
      <c r="K15" s="1101"/>
      <c r="L15" s="1101"/>
      <c r="M15" s="1101"/>
      <c r="N15" s="1101"/>
      <c r="O15" s="1101"/>
    </row>
    <row r="16" spans="1:15" ht="40" customHeight="1" x14ac:dyDescent="0.2">
      <c r="A16" s="505"/>
      <c r="B16" s="1207" t="str">
        <f>BIBLE!E32</f>
        <v>B11b</v>
      </c>
      <c r="C16" s="1207" t="str">
        <f>BIBLE!F32</f>
        <v>De votre côté-vous, respectez-vous les ordonnances et l'entente de garde ?</v>
      </c>
      <c r="D16" s="1110"/>
      <c r="E16" s="549">
        <v>2</v>
      </c>
      <c r="F16" s="549"/>
      <c r="G16" s="466" t="s">
        <v>43</v>
      </c>
      <c r="H16" s="545" t="s">
        <v>12</v>
      </c>
      <c r="I16" s="1068">
        <f>Test_Bible!P57</f>
        <v>0</v>
      </c>
      <c r="J16" s="1068">
        <f>Test_Bible!Q57</f>
        <v>0</v>
      </c>
      <c r="K16" s="1101"/>
      <c r="L16" s="1101"/>
      <c r="M16" s="1101"/>
      <c r="N16" s="1101"/>
      <c r="O16" s="1101"/>
    </row>
    <row r="17" spans="1:15" ht="96" customHeight="1" x14ac:dyDescent="0.2">
      <c r="A17" s="505"/>
      <c r="B17" s="1206" t="str">
        <f>BIBLE!E33</f>
        <v>B12</v>
      </c>
      <c r="C17" s="1206" t="str">
        <f>BIBLE!F33</f>
        <v xml:space="preserve">Comment qualifieriez-vous votre relation avec votre enfant ? 
</v>
      </c>
      <c r="D17" s="1406" t="str">
        <f>BIBLE!H33</f>
        <v>J'ai une très bonne relation
J'ai une bonne relation
J'ai une relation difficile
Mon lien est fragilisé par le contexte familial
Je suis en rupture de lien affectif 
Je suis en rupture de contact physique</v>
      </c>
      <c r="E17" s="1069">
        <v>0</v>
      </c>
      <c r="F17" s="1069"/>
      <c r="G17" s="466" t="s">
        <v>19</v>
      </c>
      <c r="I17" s="466"/>
      <c r="J17" s="466"/>
      <c r="K17" s="1099" t="s">
        <v>763</v>
      </c>
      <c r="L17" s="1099" t="s">
        <v>763</v>
      </c>
      <c r="M17" s="1100"/>
      <c r="N17" s="1099" t="s">
        <v>763</v>
      </c>
      <c r="O17" s="1099" t="s">
        <v>763</v>
      </c>
    </row>
    <row r="18" spans="1:15" ht="140" customHeight="1" x14ac:dyDescent="0.2">
      <c r="A18" s="505"/>
      <c r="B18" s="1207" t="str">
        <f>BIBLE!E34</f>
        <v>B12a</v>
      </c>
      <c r="C18" s="1207" t="str">
        <f>BIBLE!F34</f>
        <v>Quels types de difficultés relationnelles rencontrez-vous ?</v>
      </c>
      <c r="D18" s="1111"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069">
        <v>0</v>
      </c>
      <c r="F18" s="1069"/>
      <c r="G18" s="466" t="s">
        <v>51</v>
      </c>
      <c r="I18" s="466"/>
      <c r="J18" s="466"/>
      <c r="K18" s="1100"/>
      <c r="L18" s="1100"/>
      <c r="M18" s="1099" t="s">
        <v>763</v>
      </c>
      <c r="N18" s="1100"/>
      <c r="O18" s="1099"/>
    </row>
    <row r="19" spans="1:15" ht="87" customHeight="1" x14ac:dyDescent="0.2">
      <c r="A19" s="505"/>
      <c r="B19" s="1207" t="str">
        <f>BIBLE!E35</f>
        <v>B12b</v>
      </c>
      <c r="C19" s="1207" t="str">
        <f>BIBLE!F35</f>
        <v xml:space="preserve">Ces difficultés relationnelles sont-elles récentes ? </v>
      </c>
      <c r="D19" s="1110" t="s">
        <v>468</v>
      </c>
      <c r="E19" s="1069">
        <v>0</v>
      </c>
      <c r="F19" s="1069"/>
      <c r="G19" s="466" t="s">
        <v>51</v>
      </c>
      <c r="I19" s="466"/>
      <c r="J19" s="466"/>
      <c r="K19" s="1100"/>
      <c r="L19" s="1100"/>
      <c r="M19" s="1099" t="s">
        <v>763</v>
      </c>
      <c r="N19" s="1100"/>
      <c r="O19" s="1099"/>
    </row>
    <row r="20" spans="1:15" ht="48" customHeight="1" x14ac:dyDescent="0.2">
      <c r="A20" s="505"/>
      <c r="B20" s="1207" t="str">
        <f>BIBLE!E36</f>
        <v>B12c</v>
      </c>
      <c r="C20" s="1207" t="str">
        <f>BIBLE!F36</f>
        <v>Est-ce qu'il y a d'autres enfants en rupture de lien ou de contact?</v>
      </c>
      <c r="D20" s="1109" t="s">
        <v>766</v>
      </c>
      <c r="E20" s="1069">
        <v>0</v>
      </c>
      <c r="F20" s="1069"/>
      <c r="G20" s="466" t="s">
        <v>46</v>
      </c>
      <c r="I20" s="466"/>
      <c r="J20" s="466"/>
      <c r="K20" s="1100"/>
      <c r="L20" s="1099" t="s">
        <v>763</v>
      </c>
      <c r="M20" s="1099" t="s">
        <v>763</v>
      </c>
      <c r="N20" s="1100"/>
      <c r="O20" s="1100"/>
    </row>
    <row r="21" spans="1:15" ht="130" customHeight="1" x14ac:dyDescent="0.2">
      <c r="A21" s="505"/>
      <c r="B21" s="1207" t="str">
        <f>BIBLE!E37</f>
        <v>B12d</v>
      </c>
      <c r="C21" s="1207" t="str">
        <f>BIBLE!F37</f>
        <v>Un traumatisme vécu par vous, le coparent ou l'enfant pourrait-il expliquer la rupture de contact ou de lien avec votre enfant ? Choix multiples</v>
      </c>
      <c r="D21" s="1111" t="s">
        <v>515</v>
      </c>
      <c r="E21" s="1069">
        <v>0</v>
      </c>
      <c r="F21" s="1069"/>
      <c r="G21" s="466" t="s">
        <v>51</v>
      </c>
      <c r="I21" s="466"/>
      <c r="J21" s="466"/>
      <c r="K21" s="1100"/>
      <c r="L21" s="1099" t="s">
        <v>763</v>
      </c>
      <c r="M21" s="1099" t="s">
        <v>763</v>
      </c>
      <c r="N21" s="1100"/>
      <c r="O21" s="1099"/>
    </row>
    <row r="22" spans="1:15" ht="40" customHeight="1" x14ac:dyDescent="0.2">
      <c r="A22" s="16"/>
      <c r="B22" s="1058"/>
      <c r="C22" s="272"/>
      <c r="D22" s="272"/>
      <c r="E22" s="16"/>
      <c r="F22" s="16"/>
      <c r="G22" s="466"/>
      <c r="I22" s="466"/>
      <c r="J22" s="466"/>
    </row>
    <row r="23" spans="1:15" s="82" customFormat="1" ht="30" customHeight="1" x14ac:dyDescent="0.2">
      <c r="A23" s="1104" t="s">
        <v>409</v>
      </c>
      <c r="B23" s="330"/>
      <c r="C23" s="331"/>
      <c r="D23" s="331"/>
      <c r="E23" s="330"/>
      <c r="F23" s="330"/>
      <c r="G23" s="837"/>
      <c r="H23" s="546"/>
      <c r="I23" s="837"/>
      <c r="J23" s="837"/>
      <c r="K23" s="1070"/>
      <c r="L23" s="1070"/>
      <c r="M23" s="1070"/>
      <c r="N23" s="1070"/>
      <c r="O23" s="1070"/>
    </row>
    <row r="24" spans="1:15" ht="51" x14ac:dyDescent="0.2">
      <c r="A24" s="1071"/>
      <c r="B24" s="1205" t="str">
        <f>BIBLE!E58</f>
        <v>PCR06</v>
      </c>
      <c r="C24" s="1205" t="str">
        <f>BIBLE!F58</f>
        <v xml:space="preserve">Vous faites un retour sur les interventions de l'autre parent (nutrition, hygiène, logistique, etc.) au retour des enfants, par courriel ou message texte. </v>
      </c>
      <c r="D24" s="1113"/>
      <c r="E24" s="549">
        <v>2</v>
      </c>
      <c r="F24" s="549"/>
      <c r="G24" s="466" t="s">
        <v>3</v>
      </c>
      <c r="H24" s="545" t="s">
        <v>384</v>
      </c>
      <c r="I24" s="1072">
        <f>Test_Bible!P126</f>
        <v>2</v>
      </c>
      <c r="J24" s="1072">
        <f>Test_Bible!Q126</f>
        <v>2</v>
      </c>
      <c r="K24" s="1101"/>
      <c r="L24" s="1101"/>
      <c r="M24" s="1101"/>
      <c r="N24" s="1101"/>
      <c r="O24" s="1101"/>
    </row>
    <row r="25" spans="1:15" ht="98" customHeight="1" x14ac:dyDescent="0.2">
      <c r="A25" s="1071"/>
      <c r="B25" s="1207" t="str">
        <f>BIBLE!E54</f>
        <v>PCR01b</v>
      </c>
      <c r="C25" s="1207" t="str">
        <f>BIBLE!F54</f>
        <v>Quels sont les sujets délicats entre vous et l'autre parent ?</v>
      </c>
      <c r="D25" s="1114" t="s">
        <v>1126</v>
      </c>
      <c r="E25" s="541">
        <v>1</v>
      </c>
      <c r="F25" s="541"/>
      <c r="G25" s="466" t="s">
        <v>65</v>
      </c>
      <c r="H25" s="547" t="s">
        <v>385</v>
      </c>
      <c r="I25" s="1073"/>
      <c r="J25" s="1073"/>
      <c r="K25" s="1100"/>
      <c r="L25" s="1099" t="s">
        <v>763</v>
      </c>
      <c r="M25" s="1099" t="s">
        <v>763</v>
      </c>
      <c r="N25" s="1100"/>
      <c r="O25" s="1099"/>
    </row>
    <row r="26" spans="1:15" s="7" customFormat="1" ht="17" x14ac:dyDescent="0.2">
      <c r="A26" s="1071"/>
      <c r="B26" s="1205" t="str">
        <f>BIBLE!E66</f>
        <v>PCR12</v>
      </c>
      <c r="C26" s="1205" t="str">
        <f>BIBLE!F66</f>
        <v>Il vous arrive de prendre des décisions sans consulter l'autre parent.</v>
      </c>
      <c r="D26" s="1115"/>
      <c r="E26" s="549">
        <v>2</v>
      </c>
      <c r="F26" s="549"/>
      <c r="G26" s="466" t="s">
        <v>3</v>
      </c>
      <c r="H26" s="545" t="s">
        <v>384</v>
      </c>
      <c r="I26" s="1072">
        <f>Test_Bible!P140</f>
        <v>2</v>
      </c>
      <c r="J26" s="1072">
        <f>Test_Bible!Q140</f>
        <v>4</v>
      </c>
      <c r="K26" s="1103"/>
      <c r="L26" s="1103"/>
      <c r="M26" s="1103"/>
      <c r="N26" s="1103"/>
      <c r="O26" s="1103"/>
    </row>
    <row r="27" spans="1:15" s="7" customFormat="1" ht="102" x14ac:dyDescent="0.2">
      <c r="A27" s="1071"/>
      <c r="B27" s="1207" t="str">
        <f>BIBLE!E67</f>
        <v>PCR12a</v>
      </c>
      <c r="C27" s="1207" t="str">
        <f>BIBLE!F67</f>
        <v>Quel type de décisions avez-vous pris sans consulter l'autre parent ou sans attendre son approbation ?</v>
      </c>
      <c r="D27" s="1116" t="s">
        <v>81</v>
      </c>
      <c r="E27" s="549">
        <v>2</v>
      </c>
      <c r="F27" s="549"/>
      <c r="G27" s="466" t="s">
        <v>65</v>
      </c>
      <c r="H27" s="545"/>
      <c r="I27" s="1074"/>
      <c r="J27" s="1074"/>
      <c r="K27" s="1102"/>
      <c r="L27" s="1102"/>
      <c r="M27" s="1099" t="s">
        <v>763</v>
      </c>
      <c r="N27" s="1263" t="s">
        <v>996</v>
      </c>
      <c r="O27" s="1099" t="s">
        <v>763</v>
      </c>
    </row>
    <row r="28" spans="1:15" ht="34" x14ac:dyDescent="0.2">
      <c r="A28" s="1071"/>
      <c r="B28" s="1205" t="str">
        <f>BIBLE!E70</f>
        <v>PCR15</v>
      </c>
      <c r="C28" s="1205" t="str">
        <f>BIBLE!F70</f>
        <v>Il est important que votre enfant soit au courant des enjeux de la séparation et/ou du conflit qui vous oppose à l'autre parent.</v>
      </c>
      <c r="D28" s="1113"/>
      <c r="E28" s="549">
        <v>2</v>
      </c>
      <c r="F28" s="548">
        <v>3</v>
      </c>
      <c r="G28" s="466" t="s">
        <v>6</v>
      </c>
      <c r="H28" s="545" t="s">
        <v>387</v>
      </c>
      <c r="I28" s="1072">
        <f>Test_Bible!P151</f>
        <v>4</v>
      </c>
      <c r="J28" s="1072">
        <f>Test_Bible!Q151</f>
        <v>12</v>
      </c>
      <c r="K28" s="1101"/>
      <c r="L28" s="1101"/>
      <c r="M28" s="1101"/>
      <c r="N28" s="1101"/>
      <c r="O28" s="1101"/>
    </row>
    <row r="29" spans="1:15" ht="61" customHeight="1" x14ac:dyDescent="0.2">
      <c r="A29" s="1071"/>
      <c r="B29" s="1207" t="str">
        <f>BIBLE!E71</f>
        <v>PCR15a</v>
      </c>
      <c r="C29" s="1207" t="str">
        <f>BIBLE!F71</f>
        <v>Avez-vous mis votre enfant au courant des enjeux juridiques (pension alimentaire, modalité de garde, etc.) qui vous oppose à l’autre parent ?</v>
      </c>
      <c r="D29" s="1117" t="s">
        <v>766</v>
      </c>
      <c r="E29" s="597">
        <v>0</v>
      </c>
      <c r="F29" s="597"/>
      <c r="G29" s="466" t="s">
        <v>46</v>
      </c>
      <c r="I29" s="1072"/>
      <c r="J29" s="1072"/>
      <c r="K29" s="1100"/>
      <c r="L29" s="1100"/>
      <c r="M29" s="1099" t="s">
        <v>763</v>
      </c>
      <c r="N29" s="1100"/>
      <c r="O29" s="1099" t="s">
        <v>763</v>
      </c>
    </row>
    <row r="30" spans="1:15" ht="31" x14ac:dyDescent="0.2">
      <c r="A30" s="1075"/>
      <c r="B30" s="16"/>
      <c r="C30" s="272"/>
      <c r="D30" s="1076"/>
      <c r="E30" s="466"/>
      <c r="F30" s="466"/>
      <c r="G30" s="466"/>
      <c r="I30" s="1072"/>
      <c r="J30" s="1072"/>
      <c r="M30" s="1067"/>
      <c r="O30" s="1067"/>
    </row>
    <row r="31" spans="1:15" ht="36" customHeight="1" x14ac:dyDescent="0.2">
      <c r="A31" s="1077" t="s">
        <v>408</v>
      </c>
      <c r="B31" s="536"/>
      <c r="C31" s="925"/>
      <c r="D31" s="925"/>
      <c r="E31" s="925"/>
      <c r="F31" s="925"/>
      <c r="G31" s="925"/>
      <c r="H31" s="925"/>
      <c r="I31" s="925"/>
      <c r="J31" s="925"/>
    </row>
    <row r="32" spans="1:15" ht="34" x14ac:dyDescent="0.2">
      <c r="A32" s="1078"/>
      <c r="B32" s="1118" t="str">
        <f>BIBLE!E82</f>
        <v>PFA02</v>
      </c>
      <c r="C32" s="1119" t="s">
        <v>461</v>
      </c>
      <c r="D32" s="1120"/>
      <c r="E32" s="1079">
        <v>1</v>
      </c>
      <c r="F32" s="1079"/>
      <c r="G32" s="1080" t="s">
        <v>54</v>
      </c>
      <c r="H32" s="1081" t="s">
        <v>360</v>
      </c>
      <c r="I32" s="1082">
        <f>Test_Bible!P166</f>
        <v>7</v>
      </c>
      <c r="J32" s="1082">
        <f>Test_Bible!Q166</f>
        <v>7</v>
      </c>
      <c r="K32" s="1101"/>
      <c r="L32" s="1101"/>
      <c r="M32" s="1101"/>
      <c r="N32" s="1101"/>
      <c r="O32" s="1101"/>
    </row>
    <row r="33" spans="1:15" ht="90" customHeight="1" x14ac:dyDescent="0.2">
      <c r="A33" s="386"/>
      <c r="B33" s="1118" t="str">
        <f>BIBLE!E83</f>
        <v>PFA02a</v>
      </c>
      <c r="C33" s="895" t="s">
        <v>462</v>
      </c>
      <c r="D33" s="1114" t="s">
        <v>769</v>
      </c>
      <c r="E33" s="1079">
        <v>1</v>
      </c>
      <c r="F33" s="1079"/>
      <c r="G33" s="466" t="s">
        <v>93</v>
      </c>
      <c r="I33" s="466"/>
      <c r="J33" s="466"/>
      <c r="K33" s="1100"/>
      <c r="L33" s="1100"/>
      <c r="M33" s="1099"/>
      <c r="N33" s="1099" t="s">
        <v>1050</v>
      </c>
      <c r="O33" s="1099" t="s">
        <v>763</v>
      </c>
    </row>
    <row r="34" spans="1:15" s="7" customFormat="1" ht="34" x14ac:dyDescent="0.2">
      <c r="A34" s="386"/>
      <c r="B34" s="1118" t="str">
        <f>BIBLE!E125</f>
        <v>PFA25</v>
      </c>
      <c r="C34" s="1119" t="s">
        <v>379</v>
      </c>
      <c r="D34" s="1120"/>
      <c r="E34" s="541">
        <v>1</v>
      </c>
      <c r="F34" s="541"/>
      <c r="G34" s="466" t="s">
        <v>3</v>
      </c>
      <c r="H34" s="545" t="s">
        <v>384</v>
      </c>
      <c r="I34" s="1068">
        <f>Test_Bible!P211</f>
        <v>4</v>
      </c>
      <c r="J34" s="1068">
        <f>Test_Bible!Q211</f>
        <v>8</v>
      </c>
      <c r="K34" s="1103"/>
      <c r="L34" s="1103"/>
      <c r="M34" s="1103"/>
      <c r="N34" s="1103"/>
      <c r="O34" s="1103"/>
    </row>
    <row r="35" spans="1:15" s="7" customFormat="1" ht="45" customHeight="1" x14ac:dyDescent="0.2">
      <c r="A35" s="386"/>
      <c r="B35" s="1118" t="str">
        <f>BIBLE!E126</f>
        <v>PFA25a</v>
      </c>
      <c r="C35" s="895" t="s">
        <v>465</v>
      </c>
      <c r="D35" s="1121" t="s">
        <v>383</v>
      </c>
      <c r="E35" s="549">
        <v>2</v>
      </c>
      <c r="F35" s="549"/>
      <c r="G35" s="466" t="s">
        <v>132</v>
      </c>
      <c r="H35" s="547" t="s">
        <v>389</v>
      </c>
      <c r="I35" s="109"/>
      <c r="J35" s="109"/>
      <c r="K35" s="1102"/>
      <c r="L35" s="1102"/>
      <c r="M35" s="1102"/>
      <c r="N35" s="1099" t="s">
        <v>763</v>
      </c>
      <c r="O35" s="1102"/>
    </row>
    <row r="36" spans="1:15" s="7" customFormat="1" ht="51" x14ac:dyDescent="0.2">
      <c r="A36" s="386"/>
      <c r="B36" s="1208" t="str">
        <f>BIBLE!E131</f>
        <v>PFA39</v>
      </c>
      <c r="C36" s="1208" t="str">
        <f>BIBLE!F131</f>
        <v xml:space="preserve">Dans quelle mesure est-ce que l'autre parent se dit impuissant et non responsable de la décision de votre enfant de ne plus respecter l'entente de garde ? </v>
      </c>
      <c r="D36" s="1122"/>
      <c r="E36" s="548">
        <v>3</v>
      </c>
      <c r="F36" s="548"/>
      <c r="G36" s="466" t="s">
        <v>6</v>
      </c>
      <c r="H36" s="545" t="s">
        <v>387</v>
      </c>
      <c r="I36" s="585">
        <f>Test_Bible!P220</f>
        <v>0</v>
      </c>
      <c r="J36" s="585">
        <f>Test_Bible!Q220</f>
        <v>0</v>
      </c>
      <c r="K36" s="1103"/>
      <c r="L36" s="1103"/>
      <c r="M36" s="1103"/>
      <c r="N36" s="1103"/>
      <c r="O36" s="1103"/>
    </row>
    <row r="37" spans="1:15" s="7" customFormat="1" ht="106" customHeight="1" x14ac:dyDescent="0.2">
      <c r="A37" s="386"/>
      <c r="B37" s="1207" t="str">
        <f>BIBLE!E133</f>
        <v>PFA29a</v>
      </c>
      <c r="C37" s="1207" t="str">
        <f>BIBLE!F133</f>
        <v>Quels types de décisions ont été prises sans votre consentement ou connaissance de votre part ?</v>
      </c>
      <c r="D37" s="1116" t="s">
        <v>486</v>
      </c>
      <c r="E37" s="566">
        <v>0</v>
      </c>
      <c r="F37" s="566"/>
      <c r="G37" s="466" t="s">
        <v>51</v>
      </c>
      <c r="H37" s="545"/>
      <c r="I37" s="1083"/>
      <c r="J37" s="1083"/>
      <c r="K37" s="1102"/>
      <c r="L37" s="1102"/>
      <c r="M37" s="1099" t="s">
        <v>763</v>
      </c>
      <c r="N37" s="1263" t="s">
        <v>995</v>
      </c>
      <c r="O37" s="1099" t="s">
        <v>763</v>
      </c>
    </row>
    <row r="38" spans="1:15" s="7" customFormat="1" ht="41" customHeight="1" x14ac:dyDescent="0.2">
      <c r="A38" s="386"/>
      <c r="B38" s="1207" t="str">
        <f>BIBLE!E134</f>
        <v>PFA29b</v>
      </c>
      <c r="C38" s="1207" t="str">
        <f>BIBLE!F134</f>
        <v>Avez-vous été déchu·e (totalement ou en partie) de votre autorité parentale ?</v>
      </c>
      <c r="D38" s="1123" t="s">
        <v>767</v>
      </c>
      <c r="E38" s="541">
        <v>1</v>
      </c>
      <c r="F38" s="541"/>
      <c r="G38" s="466" t="s">
        <v>46</v>
      </c>
      <c r="H38" s="545"/>
      <c r="I38" s="1074"/>
      <c r="J38" s="1074"/>
      <c r="K38" s="1102"/>
      <c r="L38" s="1102"/>
      <c r="M38" s="1102"/>
      <c r="N38" s="1102"/>
      <c r="O38" s="1099" t="s">
        <v>763</v>
      </c>
    </row>
    <row r="39" spans="1:15" ht="46" customHeight="1" x14ac:dyDescent="0.2">
      <c r="A39" s="386"/>
      <c r="B39" s="1207" t="str">
        <f>BIBLE!E136</f>
        <v>PFA30a</v>
      </c>
      <c r="C39" s="1207" t="str">
        <f>BIBLE!F136</f>
        <v>L’autre parent cherche à vous exclure de la vie de votre enfant.</v>
      </c>
      <c r="D39" s="1124"/>
      <c r="E39" s="548">
        <v>3</v>
      </c>
      <c r="F39" s="548"/>
      <c r="G39" s="466" t="s">
        <v>7</v>
      </c>
      <c r="H39" s="545" t="s">
        <v>388</v>
      </c>
      <c r="I39" s="1068">
        <f>Test_Bible!P235</f>
        <v>7</v>
      </c>
      <c r="J39" s="1068">
        <f>Test_Bible!Q235</f>
        <v>21</v>
      </c>
      <c r="K39" s="1101"/>
      <c r="L39" s="1101"/>
      <c r="M39" s="1101"/>
      <c r="N39" s="1101"/>
      <c r="O39" s="1101"/>
    </row>
    <row r="40" spans="1:15" ht="46" customHeight="1" x14ac:dyDescent="0.2">
      <c r="A40" s="386"/>
      <c r="B40" s="1207" t="str">
        <f>BIBLE!E137</f>
        <v>PFA30a1</v>
      </c>
      <c r="C40" s="1209" t="str">
        <f>BIBLE!F137</f>
        <v>Est-ce que l'autre parent fait ou a déjà fait des menaces (claires ou voilées) de vous enlever les enfants ?</v>
      </c>
      <c r="D40" s="1125"/>
      <c r="E40" s="548">
        <v>3</v>
      </c>
      <c r="F40" s="548"/>
      <c r="G40" s="466" t="s">
        <v>3</v>
      </c>
      <c r="H40" s="545" t="s">
        <v>384</v>
      </c>
      <c r="I40" s="1068">
        <f>Test_Bible!P236</f>
        <v>0</v>
      </c>
      <c r="J40" s="1068">
        <f>Test_Bible!Q236</f>
        <v>0</v>
      </c>
      <c r="K40" s="1100"/>
      <c r="L40" s="1100"/>
      <c r="M40" s="1100"/>
      <c r="N40" s="1100"/>
      <c r="O40" s="1100"/>
    </row>
    <row r="41" spans="1:15" ht="136" x14ac:dyDescent="0.2">
      <c r="A41" s="386"/>
      <c r="B41" s="1207" t="str">
        <f>BIBLE!E138</f>
        <v>PFA30a2</v>
      </c>
      <c r="C41" s="1207" t="str">
        <f>BIBLE!F138</f>
        <v>Quels sont les comportements ou attitudes qui vous laissent croire que l'autre parent cherche à vous exclure de la vie de votre enfant ?</v>
      </c>
      <c r="D41" s="1114" t="s">
        <v>485</v>
      </c>
      <c r="E41" s="566">
        <v>0</v>
      </c>
      <c r="F41" s="566"/>
      <c r="G41" s="466" t="s">
        <v>51</v>
      </c>
      <c r="I41" s="466"/>
      <c r="J41" s="466"/>
      <c r="K41" s="1100"/>
      <c r="L41" s="1100"/>
      <c r="M41" s="1099" t="s">
        <v>763</v>
      </c>
      <c r="N41" s="1099" t="s">
        <v>1050</v>
      </c>
      <c r="O41" s="1099" t="s">
        <v>763</v>
      </c>
    </row>
    <row r="42" spans="1:15" s="7" customFormat="1" ht="34" x14ac:dyDescent="0.2">
      <c r="A42" s="386"/>
      <c r="B42" s="1208" t="str">
        <f>BIBLE!E146</f>
        <v>PFA36</v>
      </c>
      <c r="C42" s="1208" t="str">
        <f>BIBLE!F146</f>
        <v>L’autre parent demande à votre enfant de choisir avec quel parent il veut vivre.</v>
      </c>
      <c r="D42" s="1126"/>
      <c r="E42" s="565">
        <v>3</v>
      </c>
      <c r="F42" s="565"/>
      <c r="G42" s="466" t="s">
        <v>6</v>
      </c>
      <c r="H42" s="545" t="s">
        <v>387</v>
      </c>
      <c r="I42" s="1084">
        <f>Test_Bible!P234</f>
        <v>7</v>
      </c>
      <c r="J42" s="1084">
        <f>Test_Bible!Q234</f>
        <v>21</v>
      </c>
      <c r="K42" s="1103"/>
      <c r="L42" s="1103"/>
      <c r="M42" s="1103"/>
      <c r="N42" s="1103"/>
      <c r="O42" s="1103"/>
    </row>
    <row r="43" spans="1:15" ht="102" x14ac:dyDescent="0.2">
      <c r="A43" s="386"/>
      <c r="B43" s="1208" t="str">
        <f>BIBLE!E147</f>
        <v>PFA38</v>
      </c>
      <c r="C43" s="1208" t="str">
        <f>BIBLE!F147</f>
        <v>Selon vous, quels sont les enjeux les plus importants pour l'autre parent au niveau de la garde des enfants ?</v>
      </c>
      <c r="D43" s="1127" t="s">
        <v>381</v>
      </c>
      <c r="E43" s="1085" t="s">
        <v>153</v>
      </c>
      <c r="F43" s="1085"/>
      <c r="G43" s="466" t="s">
        <v>51</v>
      </c>
      <c r="H43" s="547" t="s">
        <v>390</v>
      </c>
      <c r="I43" s="466"/>
      <c r="J43" s="466"/>
      <c r="K43" s="1100"/>
      <c r="L43" s="1100"/>
      <c r="M43" s="1099" t="s">
        <v>763</v>
      </c>
      <c r="N43" s="1099" t="s">
        <v>1050</v>
      </c>
      <c r="O43" s="1099" t="s">
        <v>763</v>
      </c>
    </row>
    <row r="44" spans="1:15" ht="55" customHeight="1" x14ac:dyDescent="0.2">
      <c r="A44" s="16"/>
      <c r="B44" s="1058"/>
      <c r="C44" s="272"/>
      <c r="D44" s="1059"/>
      <c r="E44" s="466"/>
      <c r="F44" s="466"/>
      <c r="G44" s="466"/>
      <c r="I44" s="466"/>
      <c r="J44" s="466"/>
    </row>
    <row r="45" spans="1:15" ht="42" customHeight="1" x14ac:dyDescent="0.2">
      <c r="A45" s="1086" t="s">
        <v>154</v>
      </c>
      <c r="B45" s="514"/>
      <c r="C45" s="1087"/>
      <c r="D45" s="928"/>
      <c r="E45" s="567"/>
      <c r="F45" s="567"/>
      <c r="G45" s="1088"/>
      <c r="H45" s="1089"/>
      <c r="I45" s="1088"/>
      <c r="J45" s="1088"/>
    </row>
    <row r="46" spans="1:15" s="138" customFormat="1" ht="42" customHeight="1" x14ac:dyDescent="0.2">
      <c r="A46" s="1090" t="s">
        <v>67</v>
      </c>
      <c r="B46" s="1128" t="str">
        <f>BIBLE!E159</f>
        <v>E05</v>
      </c>
      <c r="C46" s="1210" t="str">
        <f>BIBLE!F159</f>
        <v>Votre enfant s’exprime avec des expressions ou des paroles empruntées à l’autre parent.</v>
      </c>
      <c r="D46" s="1129"/>
      <c r="E46" s="549">
        <v>2</v>
      </c>
      <c r="F46" s="549"/>
      <c r="G46" s="466" t="s">
        <v>3</v>
      </c>
      <c r="H46" s="545" t="s">
        <v>384</v>
      </c>
      <c r="I46" s="1072">
        <f>Test_Bible!P272</f>
        <v>2</v>
      </c>
      <c r="J46" s="1072">
        <f>Test_Bible!Q272</f>
        <v>4</v>
      </c>
      <c r="K46" s="1101"/>
      <c r="L46" s="1101"/>
      <c r="M46" s="1101"/>
      <c r="N46" s="1101"/>
      <c r="O46" s="1101"/>
    </row>
    <row r="47" spans="1:15" s="138" customFormat="1" ht="86" customHeight="1" x14ac:dyDescent="0.2">
      <c r="A47" s="1090" t="s">
        <v>67</v>
      </c>
      <c r="B47" s="1128" t="str">
        <f>BIBLE!E160</f>
        <v>E05a</v>
      </c>
      <c r="C47" s="1207" t="str">
        <f>BIBLE!F160</f>
        <v>Dans quels contextes ou à quelles occasions cela se produit-il ?</v>
      </c>
      <c r="D47" s="1121" t="s">
        <v>382</v>
      </c>
      <c r="E47" s="549">
        <v>2</v>
      </c>
      <c r="F47" s="549"/>
      <c r="G47" s="466" t="s">
        <v>487</v>
      </c>
      <c r="H47" s="547" t="s">
        <v>391</v>
      </c>
      <c r="I47" s="398"/>
      <c r="J47" s="398"/>
      <c r="K47" s="1100"/>
      <c r="L47" s="1100"/>
      <c r="M47" s="1099" t="s">
        <v>763</v>
      </c>
      <c r="N47" s="1100"/>
      <c r="O47" s="1099" t="s">
        <v>763</v>
      </c>
    </row>
    <row r="48" spans="1:15" s="138" customFormat="1" ht="44" customHeight="1" x14ac:dyDescent="0.2">
      <c r="A48" s="1090"/>
      <c r="B48" s="1128" t="str">
        <f>BIBLE!E173</f>
        <v>E16</v>
      </c>
      <c r="C48" s="1210" t="str">
        <f>BIBLE!F173</f>
        <v>Votre enfant demande à modifier les horaires de garde et de visite.</v>
      </c>
      <c r="D48" s="1407"/>
      <c r="E48" s="549"/>
      <c r="F48" s="549"/>
      <c r="G48" s="466"/>
      <c r="H48" s="547"/>
      <c r="I48" s="398"/>
      <c r="J48" s="398"/>
      <c r="K48" s="1101"/>
      <c r="L48" s="1101"/>
      <c r="M48" s="1101"/>
      <c r="N48" s="1101"/>
      <c r="O48" s="1101"/>
    </row>
    <row r="49" spans="1:15" s="138" customFormat="1" ht="41" customHeight="1" x14ac:dyDescent="0.2">
      <c r="A49" s="1090"/>
      <c r="B49" s="1413" t="str">
        <f>BIBLE!E174</f>
        <v>E16a</v>
      </c>
      <c r="C49" s="1419" t="str">
        <f>BIBLE!F174</f>
        <v>Dans quel contexte votre enfant demande-t-il ou elle à changer les horaires de garde et de visite chez l'un et l'autre des parents ?</v>
      </c>
      <c r="D49" s="1420"/>
      <c r="E49" s="548"/>
      <c r="F49" s="548"/>
      <c r="G49" s="548"/>
      <c r="H49" s="1421"/>
      <c r="I49" s="1422"/>
      <c r="J49" s="1422"/>
      <c r="K49" s="1418" t="s">
        <v>763</v>
      </c>
      <c r="L49" s="1417"/>
      <c r="M49" s="1418"/>
      <c r="N49" s="1417"/>
      <c r="O49" s="1418"/>
    </row>
    <row r="50" spans="1:15" s="138" customFormat="1" ht="42" customHeight="1" x14ac:dyDescent="0.2">
      <c r="A50" s="1090" t="s">
        <v>67</v>
      </c>
      <c r="B50" s="1128" t="str">
        <f>BIBLE!E191</f>
        <v>E27</v>
      </c>
      <c r="C50" s="1210" t="str">
        <f>BIBLE!F191</f>
        <v>Dans quelle mesure notez-vous un changement au niveau du comportement de votre enfant à son retour de garde ?</v>
      </c>
      <c r="D50" s="1129"/>
      <c r="E50" s="549">
        <v>2</v>
      </c>
      <c r="F50" s="549"/>
      <c r="G50" s="466" t="s">
        <v>3</v>
      </c>
      <c r="H50" s="545" t="s">
        <v>384</v>
      </c>
      <c r="I50" s="1072">
        <f>Test_Bible!P312</f>
        <v>2</v>
      </c>
      <c r="J50" s="1072">
        <f>Test_Bible!Q312</f>
        <v>4</v>
      </c>
      <c r="K50" s="1101"/>
      <c r="L50" s="1101"/>
      <c r="M50" s="1101"/>
      <c r="N50" s="1101"/>
      <c r="O50" s="1101"/>
    </row>
    <row r="51" spans="1:15" s="138" customFormat="1" ht="34" x14ac:dyDescent="0.2">
      <c r="A51" s="1090" t="s">
        <v>67</v>
      </c>
      <c r="B51" s="1128" t="str">
        <f>BIBLE!E192</f>
        <v>E27a</v>
      </c>
      <c r="C51" s="1207" t="str">
        <f>BIBLE!F192</f>
        <v>De manière générale, au retour d'un séjour chez l'autre parent, votre enfant vous paraît :</v>
      </c>
      <c r="D51" s="1116" t="s">
        <v>186</v>
      </c>
      <c r="E51" s="510">
        <v>0</v>
      </c>
      <c r="F51" s="510"/>
      <c r="G51" s="466" t="s">
        <v>187</v>
      </c>
      <c r="H51" s="545"/>
      <c r="I51" s="1091"/>
      <c r="J51" s="1091"/>
      <c r="K51" s="1100"/>
      <c r="L51" s="1100"/>
      <c r="M51" s="1099" t="s">
        <v>763</v>
      </c>
      <c r="N51" s="1100"/>
      <c r="O51" s="1099" t="s">
        <v>763</v>
      </c>
    </row>
    <row r="52" spans="1:15" ht="42" customHeight="1" x14ac:dyDescent="0.2">
      <c r="A52" s="1092"/>
      <c r="B52" s="1128" t="str">
        <f>BIBLE!E206</f>
        <v>E36</v>
      </c>
      <c r="C52" s="1128" t="str">
        <f>BIBLE!F206</f>
        <v>Est-ce que votre enfant présente des troubles psychosomatiques en ce moment?</v>
      </c>
      <c r="D52" s="1130" t="s">
        <v>766</v>
      </c>
      <c r="E52" s="555">
        <v>0</v>
      </c>
      <c r="F52" s="555"/>
      <c r="G52" s="466" t="s">
        <v>46</v>
      </c>
      <c r="H52" s="545"/>
      <c r="I52" s="1073"/>
      <c r="J52" s="1073"/>
      <c r="K52" s="1101"/>
      <c r="L52" s="1101"/>
      <c r="M52" s="1101"/>
      <c r="N52" s="1101"/>
      <c r="O52" s="1101"/>
    </row>
    <row r="53" spans="1:15" ht="170" x14ac:dyDescent="0.2">
      <c r="A53" s="1092"/>
      <c r="B53" s="1128" t="str">
        <f>BIBLE!E207</f>
        <v>E36a</v>
      </c>
      <c r="C53" s="1207" t="str">
        <f>BIBLE!F207</f>
        <v>Quelles sont les manifestations ou troubles psychosomatiques présents chez votre enfant et à quelle fréquence?</v>
      </c>
      <c r="D53" s="1131" t="s">
        <v>423</v>
      </c>
      <c r="E53" s="555">
        <v>0</v>
      </c>
      <c r="F53" s="555"/>
      <c r="G53" s="466" t="s">
        <v>440</v>
      </c>
      <c r="H53" s="545" t="s">
        <v>384</v>
      </c>
      <c r="I53" s="1073"/>
      <c r="J53" s="1073"/>
      <c r="K53" s="1100"/>
      <c r="L53" s="1099" t="s">
        <v>763</v>
      </c>
      <c r="M53" s="1099" t="s">
        <v>763</v>
      </c>
      <c r="N53" s="1100"/>
      <c r="O53" s="1099" t="s">
        <v>763</v>
      </c>
    </row>
    <row r="54" spans="1:15" ht="170" x14ac:dyDescent="0.2">
      <c r="A54" s="1092"/>
      <c r="B54" s="1128" t="str">
        <f>BIBLE!E207</f>
        <v>E36a</v>
      </c>
      <c r="C54" s="1207" t="str">
        <f>BIBLE!F207</f>
        <v>Quelles sont les manifestations ou troubles psychosomatiques présents chez votre enfant et à quelle fréquence?</v>
      </c>
      <c r="D54" s="1131" t="s">
        <v>423</v>
      </c>
      <c r="E54" s="555">
        <v>0</v>
      </c>
      <c r="F54" s="555"/>
      <c r="G54" s="466" t="s">
        <v>440</v>
      </c>
      <c r="H54" s="545" t="s">
        <v>384</v>
      </c>
      <c r="I54" s="466"/>
      <c r="J54" s="466"/>
      <c r="K54" s="1102"/>
      <c r="L54" s="1102"/>
      <c r="M54" s="1099" t="s">
        <v>763</v>
      </c>
      <c r="N54" s="1102"/>
      <c r="O54" s="1099" t="s">
        <v>763</v>
      </c>
    </row>
    <row r="55" spans="1:15" ht="77" customHeight="1" x14ac:dyDescent="0.2">
      <c r="A55" s="1092"/>
      <c r="B55" s="1128" t="str">
        <f>BIBLE!E209</f>
        <v>E37</v>
      </c>
      <c r="C55" s="1207" t="str">
        <f>BIBLE!F209</f>
        <v xml:space="preserve">Vous notez un changement de comportement chez votre enfant au moment de retouner chez l'autre parent (changement de garde). </v>
      </c>
      <c r="D55" s="1131"/>
      <c r="E55" s="555"/>
      <c r="F55" s="555"/>
      <c r="G55" s="466"/>
      <c r="H55" s="545"/>
      <c r="I55" s="466"/>
      <c r="J55" s="466"/>
      <c r="K55" s="1103"/>
      <c r="L55" s="1103"/>
      <c r="M55" s="1288"/>
      <c r="N55" s="1103"/>
      <c r="O55" s="1288"/>
    </row>
    <row r="56" spans="1:15" s="7" customFormat="1" ht="39" customHeight="1" x14ac:dyDescent="0.2">
      <c r="A56" s="1092"/>
      <c r="B56" s="1128" t="str">
        <f>BIBLE!E210</f>
        <v>E37a</v>
      </c>
      <c r="C56" s="1207" t="str">
        <f>BIBLE!F210</f>
        <v>Au moment de retouner chez l'autre parent (changement de garde), votre enfant vous paraît :</v>
      </c>
      <c r="D56" s="1116" t="s">
        <v>186</v>
      </c>
      <c r="E56" s="555"/>
      <c r="F56" s="555"/>
      <c r="G56" s="466"/>
      <c r="H56" s="545"/>
      <c r="I56" s="466"/>
      <c r="J56" s="466"/>
      <c r="K56" s="1102"/>
      <c r="L56" s="1102"/>
      <c r="M56" s="1099" t="s">
        <v>763</v>
      </c>
      <c r="N56" s="1100"/>
      <c r="O56" s="1099" t="s">
        <v>763</v>
      </c>
    </row>
    <row r="57" spans="1:15" s="7" customFormat="1" ht="39" customHeight="1" x14ac:dyDescent="0.2">
      <c r="A57" s="1075"/>
      <c r="B57" s="16"/>
      <c r="C57" s="272"/>
      <c r="D57" s="1225"/>
      <c r="E57" s="466"/>
      <c r="F57" s="466"/>
      <c r="G57" s="466"/>
      <c r="H57" s="545"/>
      <c r="I57" s="466"/>
      <c r="J57" s="466"/>
      <c r="M57" s="1067"/>
      <c r="N57"/>
      <c r="O57" s="1067"/>
    </row>
    <row r="58" spans="1:15" s="7" customFormat="1" ht="51" x14ac:dyDescent="0.2">
      <c r="A58" s="1408" t="s">
        <v>1116</v>
      </c>
      <c r="B58" s="1409"/>
      <c r="C58" s="1410"/>
      <c r="D58" s="1411"/>
      <c r="E58" s="567"/>
      <c r="F58" s="567"/>
      <c r="G58" s="1088"/>
      <c r="H58" s="1089"/>
      <c r="I58" s="1088"/>
      <c r="J58" s="1088"/>
      <c r="K58"/>
      <c r="L58"/>
      <c r="M58"/>
      <c r="N58"/>
      <c r="O58"/>
    </row>
    <row r="59" spans="1:15" ht="95" customHeight="1" x14ac:dyDescent="0.2">
      <c r="A59" s="1412" t="s">
        <v>67</v>
      </c>
      <c r="B59" s="1413" t="str">
        <f>BIBLE!E221</f>
        <v>NC04</v>
      </c>
      <c r="C59" s="1413" t="str">
        <f>BIBLE!F221</f>
        <v>Comment qualifieriez-vous votre relation avec le nouveau ou nouvelle conjoint·e de l'autre parent ?</v>
      </c>
      <c r="D59" s="1414">
        <f>BIBLE!L221</f>
        <v>0</v>
      </c>
      <c r="E59" s="548">
        <v>2</v>
      </c>
      <c r="F59" s="548"/>
      <c r="G59" s="548" t="s">
        <v>3</v>
      </c>
      <c r="H59" s="1415" t="s">
        <v>384</v>
      </c>
      <c r="I59" s="1416">
        <f>Test_Bible!P284</f>
        <v>1</v>
      </c>
      <c r="J59" s="1416">
        <f>Test_Bible!Q284</f>
        <v>2</v>
      </c>
      <c r="K59" s="1417"/>
      <c r="L59" s="1417"/>
      <c r="M59" s="1418" t="s">
        <v>763</v>
      </c>
      <c r="N59" s="1417"/>
      <c r="O59" s="1418"/>
    </row>
    <row r="60" spans="1:15" ht="55" customHeight="1" x14ac:dyDescent="0.2">
      <c r="A60" s="1075"/>
      <c r="B60" s="1058"/>
      <c r="C60" s="272"/>
      <c r="D60" s="1093"/>
      <c r="E60" s="466"/>
      <c r="F60" s="466"/>
      <c r="G60" s="466"/>
      <c r="H60" s="545"/>
      <c r="I60" s="466"/>
      <c r="J60" s="466"/>
      <c r="K60" s="7"/>
      <c r="L60" s="7"/>
      <c r="M60" s="7"/>
      <c r="N60" s="7"/>
      <c r="O60" s="7"/>
    </row>
    <row r="61" spans="1:15" ht="150" x14ac:dyDescent="0.2">
      <c r="A61" s="2656"/>
      <c r="B61" s="1112" t="str">
        <f>BIBLE!E213</f>
        <v>PCR20</v>
      </c>
      <c r="C61" s="1205" t="str">
        <f>BIBLE!F213</f>
        <v xml:space="preserve">Au retour d’un séjour chez l’autre parent : 
Votre enfant est agressif envers vous et vous accable de reproches. Comment réagissez-vous ?
</v>
      </c>
      <c r="D61" s="1132" t="s">
        <v>368</v>
      </c>
      <c r="E61" s="568">
        <v>0</v>
      </c>
      <c r="F61" s="568"/>
      <c r="G61" s="1073" t="s">
        <v>65</v>
      </c>
      <c r="H61" s="547" t="s">
        <v>392</v>
      </c>
      <c r="I61" s="398"/>
      <c r="J61" s="398"/>
      <c r="K61" s="1100"/>
      <c r="L61" s="1100"/>
      <c r="M61" s="1099"/>
      <c r="N61" s="1334" t="s">
        <v>1018</v>
      </c>
      <c r="O61" s="1099" t="s">
        <v>763</v>
      </c>
    </row>
    <row r="62" spans="1:15" ht="85" customHeight="1" x14ac:dyDescent="0.2">
      <c r="A62" s="2656"/>
      <c r="B62" s="1112" t="str">
        <f>BIBLE!E214</f>
        <v>PCR21</v>
      </c>
      <c r="C62" s="1205" t="str">
        <f>BIBLE!F214</f>
        <v>Au retour d’un séjour chez l’autre parent :
Votre enfant vous accuse de mentir ou de voler l'argent de l'autre parent. Comment réagissez-vous ?</v>
      </c>
      <c r="D62" s="1133" t="s">
        <v>765</v>
      </c>
      <c r="E62" s="568">
        <v>0</v>
      </c>
      <c r="F62" s="568"/>
      <c r="G62" s="1073" t="s">
        <v>65</v>
      </c>
      <c r="H62" s="547" t="s">
        <v>393</v>
      </c>
      <c r="I62" s="398"/>
      <c r="J62" s="398"/>
      <c r="K62" s="1100"/>
      <c r="L62" s="1100"/>
      <c r="M62" s="1100"/>
      <c r="N62" s="1335"/>
      <c r="O62" s="1099" t="s">
        <v>763</v>
      </c>
    </row>
    <row r="63" spans="1:15" ht="49" customHeight="1" x14ac:dyDescent="0.2">
      <c r="A63" s="498"/>
      <c r="B63" s="16"/>
      <c r="C63" s="272"/>
      <c r="D63" s="1094"/>
      <c r="E63" s="610"/>
      <c r="F63" s="610"/>
      <c r="G63" s="1073"/>
      <c r="I63" s="1073"/>
      <c r="J63" s="1073"/>
      <c r="N63" s="1139"/>
      <c r="O63" s="1067"/>
    </row>
    <row r="64" spans="1:15" ht="86" customHeight="1" x14ac:dyDescent="0.2">
      <c r="A64" s="1438"/>
      <c r="B64" s="1438" t="str">
        <f>BIBLE!E221</f>
        <v>NC04</v>
      </c>
      <c r="C64" s="1438" t="str">
        <f>BIBLE!F221</f>
        <v>Comment qualifieriez-vous votre relation avec le nouveau ou nouvelle conjoint·e de l'autre parent ?</v>
      </c>
      <c r="D64" s="1439">
        <f>BIBLE!L221</f>
        <v>0</v>
      </c>
      <c r="E64" s="1440"/>
      <c r="F64" s="1440"/>
      <c r="G64" s="1441"/>
      <c r="H64" s="1442"/>
      <c r="I64" s="1441"/>
      <c r="J64" s="1441"/>
      <c r="K64" s="88"/>
      <c r="L64" s="88"/>
      <c r="M64" s="88"/>
      <c r="N64" s="1443"/>
      <c r="O64" s="1444"/>
    </row>
    <row r="65" spans="1:15" ht="49" customHeight="1" x14ac:dyDescent="0.2">
      <c r="A65" s="1438"/>
      <c r="B65" s="1438"/>
      <c r="C65" s="1438"/>
      <c r="D65" s="1439"/>
      <c r="E65" s="1440"/>
      <c r="F65" s="1440"/>
      <c r="G65" s="1441"/>
      <c r="H65" s="1442"/>
      <c r="I65" s="1441"/>
      <c r="J65" s="1441"/>
      <c r="K65" s="88"/>
      <c r="L65" s="88"/>
      <c r="M65" s="88"/>
      <c r="N65" s="1443"/>
      <c r="O65" s="1444"/>
    </row>
    <row r="66" spans="1:15" ht="49" customHeight="1" x14ac:dyDescent="0.2">
      <c r="A66" s="1438"/>
      <c r="B66" s="1438"/>
      <c r="C66" s="1438"/>
      <c r="D66" s="1439"/>
      <c r="E66" s="1440"/>
      <c r="F66" s="1440"/>
      <c r="G66" s="1441"/>
      <c r="H66" s="1442"/>
      <c r="I66" s="1441"/>
      <c r="J66" s="1441"/>
      <c r="K66" s="88"/>
      <c r="L66" s="88"/>
      <c r="M66" s="88"/>
      <c r="N66" s="1443"/>
      <c r="O66" s="1444"/>
    </row>
    <row r="67" spans="1:15" ht="16" x14ac:dyDescent="0.2">
      <c r="A67" s="498"/>
      <c r="B67" s="1058"/>
      <c r="C67" s="272"/>
      <c r="D67" s="1094"/>
      <c r="E67" s="610"/>
      <c r="F67" s="610"/>
      <c r="G67" s="1073"/>
      <c r="I67" s="1073"/>
      <c r="J67" s="1073"/>
    </row>
    <row r="68" spans="1:15" ht="102" x14ac:dyDescent="0.2">
      <c r="A68" s="2478" t="s">
        <v>427</v>
      </c>
      <c r="B68" s="1134" t="s">
        <v>980</v>
      </c>
      <c r="C68" s="183" t="s">
        <v>412</v>
      </c>
      <c r="D68" s="1107" t="s">
        <v>375</v>
      </c>
      <c r="E68" s="580">
        <v>0</v>
      </c>
      <c r="F68" s="580"/>
      <c r="G68" s="466" t="s">
        <v>19</v>
      </c>
      <c r="I68" s="466"/>
      <c r="J68" s="466"/>
      <c r="K68" s="1099"/>
      <c r="L68" s="1099" t="s">
        <v>763</v>
      </c>
      <c r="M68" s="1100"/>
      <c r="N68" s="1100"/>
      <c r="O68" s="1100"/>
    </row>
    <row r="69" spans="1:15" ht="189" customHeight="1" x14ac:dyDescent="0.2">
      <c r="A69" s="2478"/>
      <c r="B69" s="1134" t="s">
        <v>981</v>
      </c>
      <c r="C69" s="183" t="s">
        <v>467</v>
      </c>
      <c r="D69" s="1107" t="s">
        <v>369</v>
      </c>
      <c r="E69" s="580">
        <v>0</v>
      </c>
      <c r="F69" s="580"/>
      <c r="G69" s="466" t="s">
        <v>19</v>
      </c>
      <c r="I69" s="466"/>
      <c r="J69" s="466"/>
      <c r="K69" s="1100"/>
      <c r="L69" s="1099" t="s">
        <v>763</v>
      </c>
      <c r="M69" s="1100"/>
      <c r="N69" s="1100"/>
      <c r="O69" s="1100"/>
    </row>
    <row r="70" spans="1:15" ht="54" customHeight="1" x14ac:dyDescent="0.2">
      <c r="A70" s="2478"/>
      <c r="B70" s="1134" t="s">
        <v>982</v>
      </c>
      <c r="C70" s="183" t="s">
        <v>370</v>
      </c>
      <c r="D70" s="1107" t="s">
        <v>371</v>
      </c>
      <c r="E70" s="580">
        <v>0</v>
      </c>
      <c r="F70" s="580"/>
      <c r="G70" s="466" t="s">
        <v>19</v>
      </c>
      <c r="I70" s="466"/>
      <c r="J70" s="466"/>
      <c r="K70" s="1100"/>
      <c r="L70" s="1099" t="s">
        <v>763</v>
      </c>
      <c r="M70" s="1100"/>
      <c r="N70" s="1100"/>
      <c r="O70" s="1100"/>
    </row>
    <row r="71" spans="1:15" ht="40" customHeight="1" x14ac:dyDescent="0.2">
      <c r="A71" s="2478"/>
      <c r="B71" s="1134" t="s">
        <v>983</v>
      </c>
      <c r="C71" s="895" t="s">
        <v>372</v>
      </c>
      <c r="D71" s="1111" t="s">
        <v>373</v>
      </c>
      <c r="E71" s="1069">
        <v>0</v>
      </c>
      <c r="F71" s="1069"/>
      <c r="G71" s="466" t="s">
        <v>19</v>
      </c>
      <c r="I71" s="466"/>
      <c r="J71" s="466"/>
      <c r="K71" s="1100"/>
      <c r="L71" s="1099" t="s">
        <v>763</v>
      </c>
      <c r="M71" s="1100"/>
      <c r="N71" s="1100"/>
      <c r="O71" s="1100"/>
    </row>
    <row r="72" spans="1:15" ht="69" customHeight="1" x14ac:dyDescent="0.2">
      <c r="A72" s="2478"/>
      <c r="B72" s="1134" t="s">
        <v>984</v>
      </c>
      <c r="C72" s="183" t="s">
        <v>472</v>
      </c>
      <c r="D72" s="1107" t="s">
        <v>431</v>
      </c>
      <c r="E72" s="580"/>
      <c r="F72" s="580"/>
      <c r="G72" s="580" t="s">
        <v>164</v>
      </c>
      <c r="H72" s="1095"/>
      <c r="I72" s="466"/>
      <c r="J72" s="466"/>
      <c r="K72" s="1100"/>
      <c r="L72" s="1099" t="s">
        <v>763</v>
      </c>
      <c r="M72" s="1100"/>
      <c r="N72" s="1100"/>
      <c r="O72" s="1100"/>
    </row>
    <row r="73" spans="1:15" ht="40" customHeight="1" x14ac:dyDescent="0.2">
      <c r="A73" s="16" t="s">
        <v>426</v>
      </c>
      <c r="B73" s="1058"/>
      <c r="C73" s="272"/>
      <c r="D73" s="583"/>
      <c r="E73" s="466"/>
      <c r="F73" s="466"/>
      <c r="G73" s="466"/>
      <c r="I73" s="466"/>
      <c r="J73" s="466"/>
    </row>
    <row r="75" spans="1:15" ht="40" customHeight="1" x14ac:dyDescent="0.2">
      <c r="A75" s="16"/>
      <c r="B75" s="1058"/>
      <c r="C75" s="1096"/>
      <c r="D75" s="272"/>
      <c r="E75" s="466"/>
      <c r="F75" s="466"/>
      <c r="G75" s="466"/>
      <c r="I75" s="466"/>
      <c r="J75" s="466"/>
    </row>
    <row r="76" spans="1:15" ht="40" customHeight="1" x14ac:dyDescent="0.2">
      <c r="B76" s="1097"/>
      <c r="C76" s="8"/>
      <c r="D76" s="8"/>
      <c r="E76" s="579"/>
      <c r="H76" s="838"/>
      <c r="I76" s="290"/>
      <c r="J76" s="290"/>
    </row>
    <row r="77" spans="1:15" ht="40" customHeight="1" x14ac:dyDescent="0.2">
      <c r="B77" s="1097"/>
      <c r="C77" s="8"/>
      <c r="D77" s="8"/>
      <c r="E77" s="579"/>
      <c r="H77" s="838"/>
      <c r="I77" s="290"/>
      <c r="J77" s="290"/>
    </row>
    <row r="78" spans="1:15" ht="40" customHeight="1" x14ac:dyDescent="0.2">
      <c r="B78" s="1097"/>
      <c r="C78" s="8"/>
      <c r="D78" s="8"/>
      <c r="E78" s="579"/>
      <c r="H78" s="838"/>
      <c r="I78" s="290"/>
      <c r="J78" s="290"/>
    </row>
    <row r="79" spans="1:15" ht="40" customHeight="1" x14ac:dyDescent="0.2">
      <c r="B79" s="1097"/>
      <c r="C79" s="8"/>
      <c r="D79" s="8"/>
      <c r="E79" s="579"/>
      <c r="H79" s="838"/>
      <c r="I79" s="290"/>
      <c r="J79" s="290"/>
    </row>
    <row r="80" spans="1:15" ht="40" customHeight="1" x14ac:dyDescent="0.2">
      <c r="B80" s="1097"/>
      <c r="C80" s="8"/>
      <c r="D80" s="8"/>
      <c r="E80" s="579"/>
      <c r="H80" s="838"/>
      <c r="I80" s="290"/>
      <c r="J80" s="290"/>
    </row>
    <row r="81" spans="1:15" ht="40" customHeight="1" x14ac:dyDescent="0.2">
      <c r="B81" s="1097"/>
      <c r="C81" s="8"/>
      <c r="D81" s="8"/>
      <c r="E81" s="579"/>
      <c r="H81" s="838"/>
      <c r="I81" s="290"/>
      <c r="J81" s="290"/>
    </row>
    <row r="82" spans="1:15" ht="40" customHeight="1" x14ac:dyDescent="0.2">
      <c r="B82" s="1097"/>
      <c r="C82" s="8"/>
      <c r="D82" s="8"/>
      <c r="E82" s="579"/>
      <c r="H82" s="838"/>
      <c r="I82" s="290"/>
      <c r="J82" s="290"/>
    </row>
    <row r="83" spans="1:15" ht="40" customHeight="1" x14ac:dyDescent="0.2">
      <c r="B83" s="1097"/>
      <c r="C83" s="8"/>
      <c r="D83" s="8"/>
      <c r="E83" s="579"/>
      <c r="H83" s="838"/>
      <c r="I83" s="290"/>
      <c r="J83" s="290"/>
    </row>
    <row r="84" spans="1:15" ht="40" customHeight="1" x14ac:dyDescent="0.2">
      <c r="B84" s="1097"/>
      <c r="C84" s="8"/>
      <c r="D84" s="8"/>
      <c r="E84" s="579"/>
      <c r="H84" s="838"/>
      <c r="I84" s="290"/>
      <c r="J84" s="290"/>
    </row>
    <row r="85" spans="1:15" ht="40" customHeight="1" x14ac:dyDescent="0.2">
      <c r="B85" s="1097"/>
      <c r="C85" s="8"/>
      <c r="D85" s="8"/>
      <c r="E85" s="579"/>
      <c r="H85" s="838"/>
      <c r="I85" s="290"/>
      <c r="J85" s="290"/>
    </row>
    <row r="86" spans="1:15" ht="40" customHeight="1" x14ac:dyDescent="0.2">
      <c r="B86" s="1097"/>
      <c r="C86" s="8"/>
      <c r="D86" s="8"/>
      <c r="E86" s="579"/>
      <c r="H86" s="838"/>
      <c r="I86" s="290"/>
      <c r="J86" s="290"/>
    </row>
    <row r="87" spans="1:15" ht="40" customHeight="1" x14ac:dyDescent="0.2">
      <c r="B87" s="1097"/>
      <c r="C87" s="8"/>
      <c r="D87" s="8"/>
      <c r="E87" s="579"/>
      <c r="H87" s="838"/>
      <c r="I87" s="290"/>
      <c r="J87" s="290"/>
    </row>
    <row r="88" spans="1:15" ht="40" customHeight="1" x14ac:dyDescent="0.2">
      <c r="B88" s="1097"/>
      <c r="C88" s="8"/>
      <c r="D88" s="8"/>
      <c r="E88" s="579"/>
      <c r="H88" s="838"/>
      <c r="I88" s="290"/>
      <c r="J88" s="290"/>
    </row>
    <row r="89" spans="1:15" ht="40" customHeight="1" x14ac:dyDescent="0.2">
      <c r="H89" s="579"/>
    </row>
    <row r="90" spans="1:15" ht="40" customHeight="1" x14ac:dyDescent="0.2">
      <c r="H90" s="579"/>
    </row>
    <row r="91" spans="1:15" ht="40" customHeight="1" x14ac:dyDescent="0.2">
      <c r="H91" s="579"/>
    </row>
    <row r="92" spans="1:15" ht="40" customHeight="1" x14ac:dyDescent="0.2">
      <c r="H92" s="579"/>
    </row>
    <row r="93" spans="1:15" ht="40" customHeight="1" x14ac:dyDescent="0.2">
      <c r="H93" s="579"/>
    </row>
    <row r="94" spans="1:15" ht="40" customHeight="1" x14ac:dyDescent="0.2">
      <c r="H94" s="579"/>
    </row>
    <row r="95" spans="1:15" s="109" customFormat="1" ht="40" customHeight="1" x14ac:dyDescent="0.2">
      <c r="A95" s="8"/>
      <c r="B95" s="1098"/>
      <c r="C95" s="17"/>
      <c r="D95" s="17"/>
      <c r="H95" s="579"/>
      <c r="K95"/>
      <c r="L95"/>
      <c r="M95"/>
      <c r="N95"/>
      <c r="O95"/>
    </row>
    <row r="96" spans="1:15" s="109" customFormat="1" ht="40" customHeight="1" x14ac:dyDescent="0.2">
      <c r="A96" s="8"/>
      <c r="B96" s="1098"/>
      <c r="C96" s="17"/>
      <c r="D96" s="17"/>
      <c r="H96" s="579"/>
      <c r="K96"/>
      <c r="L96"/>
      <c r="M96"/>
      <c r="N96"/>
      <c r="O96"/>
    </row>
    <row r="97" spans="1:15" s="109" customFormat="1" ht="40" customHeight="1" x14ac:dyDescent="0.2">
      <c r="A97" s="8"/>
      <c r="B97" s="1098"/>
      <c r="C97" s="17"/>
      <c r="D97" s="17"/>
      <c r="H97" s="579"/>
      <c r="K97"/>
      <c r="L97"/>
      <c r="M97"/>
      <c r="N97"/>
      <c r="O97"/>
    </row>
    <row r="98" spans="1:15" s="109" customFormat="1" ht="40" customHeight="1" x14ac:dyDescent="0.2">
      <c r="A98" s="8"/>
      <c r="B98" s="1098"/>
      <c r="C98" s="17"/>
      <c r="D98" s="17"/>
      <c r="H98" s="579"/>
      <c r="K98"/>
      <c r="L98"/>
      <c r="M98"/>
      <c r="N98"/>
      <c r="O98"/>
    </row>
    <row r="99" spans="1:15" s="109" customFormat="1" ht="40" customHeight="1" x14ac:dyDescent="0.2">
      <c r="A99" s="8"/>
      <c r="B99" s="1098"/>
      <c r="C99" s="17"/>
      <c r="D99" s="17"/>
      <c r="H99" s="579"/>
      <c r="K99"/>
      <c r="L99"/>
      <c r="M99"/>
      <c r="N99"/>
      <c r="O99"/>
    </row>
    <row r="100" spans="1:15" s="109" customFormat="1" ht="40" customHeight="1" x14ac:dyDescent="0.2">
      <c r="A100" s="8"/>
      <c r="B100" s="1098"/>
      <c r="C100" s="17"/>
      <c r="D100" s="17"/>
      <c r="H100" s="579"/>
      <c r="K100"/>
      <c r="L100"/>
      <c r="M100"/>
      <c r="N100"/>
      <c r="O100"/>
    </row>
    <row r="101" spans="1:15" s="109" customFormat="1" ht="40" customHeight="1" x14ac:dyDescent="0.2">
      <c r="A101" s="8"/>
      <c r="B101" s="1098"/>
      <c r="C101" s="17"/>
      <c r="D101" s="17"/>
      <c r="H101" s="579"/>
      <c r="K101"/>
      <c r="L101"/>
      <c r="M101"/>
      <c r="N101"/>
      <c r="O101"/>
    </row>
    <row r="102" spans="1:15" s="109" customFormat="1" ht="40" customHeight="1" x14ac:dyDescent="0.2">
      <c r="A102" s="8"/>
      <c r="B102" s="1098"/>
      <c r="C102" s="17"/>
      <c r="D102" s="17"/>
      <c r="H102" s="579"/>
      <c r="K102"/>
      <c r="L102"/>
      <c r="M102"/>
      <c r="N102"/>
      <c r="O102"/>
    </row>
    <row r="103" spans="1:15" s="109" customFormat="1" ht="40" customHeight="1" x14ac:dyDescent="0.2">
      <c r="A103" s="8"/>
      <c r="B103" s="1098"/>
      <c r="C103" s="17"/>
      <c r="D103" s="17"/>
      <c r="H103" s="579"/>
      <c r="K103"/>
      <c r="L103"/>
      <c r="M103"/>
      <c r="N103"/>
      <c r="O103"/>
    </row>
    <row r="104" spans="1:15" s="109" customFormat="1" ht="40" customHeight="1" x14ac:dyDescent="0.2">
      <c r="A104" s="8"/>
      <c r="B104" s="1098"/>
      <c r="C104" s="17"/>
      <c r="D104" s="17"/>
      <c r="H104" s="579"/>
      <c r="K104"/>
      <c r="L104"/>
      <c r="M104"/>
      <c r="N104"/>
      <c r="O104"/>
    </row>
    <row r="105" spans="1:15" s="109" customFormat="1" ht="40" customHeight="1" x14ac:dyDescent="0.2">
      <c r="A105" s="8"/>
      <c r="B105" s="1098"/>
      <c r="C105" s="17"/>
      <c r="D105" s="17"/>
      <c r="H105" s="579"/>
      <c r="K105"/>
      <c r="L105"/>
      <c r="M105"/>
      <c r="N105"/>
      <c r="O105"/>
    </row>
    <row r="106" spans="1:15" s="109" customFormat="1" ht="40" customHeight="1" x14ac:dyDescent="0.2">
      <c r="A106" s="8"/>
      <c r="B106" s="1098"/>
      <c r="C106" s="17"/>
      <c r="D106" s="17"/>
      <c r="H106" s="579"/>
      <c r="K106"/>
      <c r="L106"/>
      <c r="M106"/>
      <c r="N106"/>
      <c r="O106"/>
    </row>
    <row r="107" spans="1:15" s="109" customFormat="1" ht="40" customHeight="1" x14ac:dyDescent="0.2">
      <c r="A107" s="8"/>
      <c r="B107" s="1098"/>
      <c r="C107" s="17"/>
      <c r="D107" s="17"/>
      <c r="H107" s="579"/>
      <c r="K107"/>
      <c r="L107"/>
      <c r="M107"/>
      <c r="N107"/>
      <c r="O107"/>
    </row>
    <row r="108" spans="1:15" s="109" customFormat="1" ht="40" customHeight="1" x14ac:dyDescent="0.2">
      <c r="A108" s="8"/>
      <c r="B108" s="1098"/>
      <c r="C108" s="17"/>
      <c r="D108" s="17"/>
      <c r="H108" s="579"/>
      <c r="K108"/>
      <c r="L108"/>
      <c r="M108"/>
      <c r="N108"/>
      <c r="O108"/>
    </row>
    <row r="109" spans="1:15" s="109" customFormat="1" ht="40" customHeight="1" x14ac:dyDescent="0.2">
      <c r="A109" s="8"/>
      <c r="B109" s="1098"/>
      <c r="C109" s="17"/>
      <c r="D109" s="17"/>
      <c r="H109" s="579"/>
      <c r="K109"/>
      <c r="L109"/>
      <c r="M109"/>
      <c r="N109"/>
      <c r="O109"/>
    </row>
    <row r="110" spans="1:15" s="109" customFormat="1" ht="40" customHeight="1" x14ac:dyDescent="0.2">
      <c r="A110" s="8"/>
      <c r="B110" s="1098"/>
      <c r="C110" s="17"/>
      <c r="D110" s="17"/>
      <c r="H110" s="579"/>
      <c r="K110"/>
      <c r="L110"/>
      <c r="M110"/>
      <c r="N110"/>
      <c r="O110"/>
    </row>
    <row r="111" spans="1:15" s="109" customFormat="1" ht="40" customHeight="1" x14ac:dyDescent="0.2">
      <c r="A111" s="8"/>
      <c r="B111" s="1098"/>
      <c r="C111" s="17"/>
      <c r="D111" s="17"/>
      <c r="H111" s="579"/>
      <c r="K111"/>
      <c r="L111"/>
      <c r="M111"/>
      <c r="N111"/>
      <c r="O111"/>
    </row>
    <row r="112" spans="1:15" s="109" customFormat="1" ht="40" customHeight="1" x14ac:dyDescent="0.2">
      <c r="A112" s="8"/>
      <c r="B112" s="1098"/>
      <c r="C112" s="17"/>
      <c r="D112" s="17"/>
      <c r="H112" s="579"/>
      <c r="K112"/>
      <c r="L112"/>
      <c r="M112"/>
      <c r="N112"/>
      <c r="O112"/>
    </row>
    <row r="113" spans="1:15" s="109" customFormat="1" ht="40" customHeight="1" x14ac:dyDescent="0.2">
      <c r="A113" s="8"/>
      <c r="B113" s="1098"/>
      <c r="C113" s="17"/>
      <c r="D113" s="17"/>
      <c r="H113" s="579"/>
      <c r="K113"/>
      <c r="L113"/>
      <c r="M113"/>
      <c r="N113"/>
      <c r="O113"/>
    </row>
    <row r="114" spans="1:15" s="109" customFormat="1" ht="40" customHeight="1" x14ac:dyDescent="0.2">
      <c r="A114" s="8"/>
      <c r="B114" s="1098"/>
      <c r="C114" s="17"/>
      <c r="D114" s="17"/>
      <c r="H114" s="579"/>
      <c r="K114"/>
      <c r="L114"/>
      <c r="M114"/>
      <c r="N114"/>
      <c r="O114"/>
    </row>
    <row r="115" spans="1:15" s="109" customFormat="1" ht="40" customHeight="1" x14ac:dyDescent="0.2">
      <c r="A115" s="8"/>
      <c r="B115" s="1098"/>
      <c r="C115" s="17"/>
      <c r="D115" s="17"/>
      <c r="H115" s="579"/>
      <c r="K115"/>
      <c r="L115"/>
      <c r="M115"/>
      <c r="N115"/>
      <c r="O115"/>
    </row>
    <row r="116" spans="1:15" s="109" customFormat="1" ht="40" customHeight="1" x14ac:dyDescent="0.2">
      <c r="A116" s="8"/>
      <c r="B116" s="1098"/>
      <c r="C116" s="17"/>
      <c r="D116" s="17"/>
      <c r="H116" s="579"/>
      <c r="K116"/>
      <c r="L116"/>
      <c r="M116"/>
      <c r="N116"/>
      <c r="O116"/>
    </row>
    <row r="117" spans="1:15" s="109" customFormat="1" ht="40" customHeight="1" x14ac:dyDescent="0.2">
      <c r="A117" s="8"/>
      <c r="B117" s="1098"/>
      <c r="C117" s="17"/>
      <c r="D117" s="17"/>
      <c r="H117" s="579"/>
      <c r="K117"/>
      <c r="L117"/>
      <c r="M117"/>
      <c r="N117"/>
      <c r="O117"/>
    </row>
    <row r="118" spans="1:15" s="109" customFormat="1" ht="40" customHeight="1" x14ac:dyDescent="0.2">
      <c r="A118" s="8"/>
      <c r="B118" s="1098"/>
      <c r="C118" s="17"/>
      <c r="D118" s="17"/>
      <c r="H118" s="579"/>
      <c r="K118"/>
      <c r="L118"/>
      <c r="M118"/>
      <c r="N118"/>
      <c r="O118"/>
    </row>
    <row r="119" spans="1:15" s="109" customFormat="1" ht="40" customHeight="1" x14ac:dyDescent="0.2">
      <c r="A119" s="8"/>
      <c r="B119" s="1098"/>
      <c r="C119" s="17"/>
      <c r="D119" s="17"/>
      <c r="H119" s="579"/>
      <c r="K119"/>
      <c r="L119"/>
      <c r="M119"/>
      <c r="N119"/>
      <c r="O119"/>
    </row>
    <row r="120" spans="1:15" s="109" customFormat="1" ht="40" customHeight="1" x14ac:dyDescent="0.2">
      <c r="A120" s="8"/>
      <c r="B120" s="1098"/>
      <c r="C120" s="17"/>
      <c r="D120" s="17"/>
      <c r="H120" s="579"/>
      <c r="K120"/>
      <c r="L120"/>
      <c r="M120"/>
      <c r="N120"/>
      <c r="O120"/>
    </row>
    <row r="121" spans="1:15" s="109" customFormat="1" ht="40" customHeight="1" x14ac:dyDescent="0.2">
      <c r="A121" s="8"/>
      <c r="B121" s="1098"/>
      <c r="C121" s="17"/>
      <c r="D121" s="17"/>
      <c r="H121" s="579"/>
      <c r="K121"/>
      <c r="L121"/>
      <c r="M121"/>
      <c r="N121"/>
      <c r="O121"/>
    </row>
    <row r="122" spans="1:15" s="109" customFormat="1" ht="40" customHeight="1" x14ac:dyDescent="0.2">
      <c r="A122" s="8"/>
      <c r="B122" s="1098"/>
      <c r="C122" s="17"/>
      <c r="D122" s="17"/>
      <c r="H122" s="579"/>
      <c r="K122"/>
      <c r="L122"/>
      <c r="M122"/>
      <c r="N122"/>
      <c r="O122"/>
    </row>
    <row r="123" spans="1:15" s="109" customFormat="1" ht="40" customHeight="1" x14ac:dyDescent="0.2">
      <c r="A123" s="8"/>
      <c r="B123" s="1098"/>
      <c r="C123" s="17"/>
      <c r="D123" s="17"/>
      <c r="H123" s="579"/>
      <c r="K123"/>
      <c r="L123"/>
      <c r="M123"/>
      <c r="N123"/>
      <c r="O123"/>
    </row>
    <row r="124" spans="1:15" s="109" customFormat="1" ht="40" customHeight="1" x14ac:dyDescent="0.2">
      <c r="A124" s="8"/>
      <c r="B124" s="1098"/>
      <c r="C124" s="17"/>
      <c r="D124" s="17"/>
      <c r="H124" s="579"/>
      <c r="K124"/>
      <c r="L124"/>
      <c r="M124"/>
      <c r="N124"/>
      <c r="O124"/>
    </row>
    <row r="125" spans="1:15" s="109" customFormat="1" ht="40" customHeight="1" x14ac:dyDescent="0.2">
      <c r="A125" s="8"/>
      <c r="B125" s="1098"/>
      <c r="C125" s="17"/>
      <c r="D125" s="17"/>
      <c r="H125" s="579"/>
      <c r="K125"/>
      <c r="L125"/>
      <c r="M125"/>
      <c r="N125"/>
      <c r="O125"/>
    </row>
    <row r="126" spans="1:15" s="109" customFormat="1" ht="40" customHeight="1" x14ac:dyDescent="0.2">
      <c r="A126" s="8"/>
      <c r="B126" s="1098"/>
      <c r="C126" s="17"/>
      <c r="D126" s="17"/>
      <c r="H126" s="579"/>
      <c r="K126"/>
      <c r="L126"/>
      <c r="M126"/>
      <c r="N126"/>
      <c r="O126"/>
    </row>
    <row r="127" spans="1:15" s="109" customFormat="1" ht="40" customHeight="1" x14ac:dyDescent="0.2">
      <c r="A127" s="8"/>
      <c r="B127" s="1098"/>
      <c r="C127" s="17"/>
      <c r="D127" s="17"/>
      <c r="H127" s="579"/>
      <c r="K127"/>
      <c r="L127"/>
      <c r="M127"/>
      <c r="N127"/>
      <c r="O127"/>
    </row>
    <row r="128" spans="1:15" s="109" customFormat="1" ht="40" customHeight="1" x14ac:dyDescent="0.2">
      <c r="A128" s="8"/>
      <c r="B128" s="1098"/>
      <c r="C128" s="17"/>
      <c r="D128" s="17"/>
      <c r="H128" s="579"/>
      <c r="K128"/>
      <c r="L128"/>
      <c r="M128"/>
      <c r="N128"/>
      <c r="O128"/>
    </row>
    <row r="129" spans="1:15" s="109" customFormat="1" ht="40" customHeight="1" x14ac:dyDescent="0.2">
      <c r="A129" s="8"/>
      <c r="B129" s="1098"/>
      <c r="C129" s="17"/>
      <c r="D129" s="17"/>
      <c r="H129" s="579"/>
      <c r="K129"/>
      <c r="L129"/>
      <c r="M129"/>
      <c r="N129"/>
      <c r="O129"/>
    </row>
    <row r="130" spans="1:15" s="109" customFormat="1" ht="40" customHeight="1" x14ac:dyDescent="0.2">
      <c r="A130" s="8"/>
      <c r="B130" s="1098"/>
      <c r="C130" s="17"/>
      <c r="D130" s="17"/>
      <c r="H130" s="579"/>
      <c r="K130"/>
      <c r="L130"/>
      <c r="M130"/>
      <c r="N130"/>
      <c r="O130"/>
    </row>
    <row r="131" spans="1:15" s="109" customFormat="1" ht="40" customHeight="1" x14ac:dyDescent="0.2">
      <c r="A131" s="8"/>
      <c r="B131" s="1098"/>
      <c r="C131" s="17"/>
      <c r="D131" s="17"/>
      <c r="H131" s="579"/>
      <c r="K131"/>
      <c r="L131"/>
      <c r="M131"/>
      <c r="N131"/>
      <c r="O131"/>
    </row>
    <row r="132" spans="1:15" s="109" customFormat="1" ht="40" customHeight="1" x14ac:dyDescent="0.2">
      <c r="A132" s="8"/>
      <c r="B132" s="1098"/>
      <c r="C132" s="17"/>
      <c r="D132" s="17"/>
      <c r="H132" s="579"/>
      <c r="K132"/>
      <c r="L132"/>
      <c r="M132"/>
      <c r="N132"/>
      <c r="O132"/>
    </row>
    <row r="133" spans="1:15" s="109" customFormat="1" ht="40" customHeight="1" x14ac:dyDescent="0.2">
      <c r="A133" s="8"/>
      <c r="B133" s="1098"/>
      <c r="C133" s="17"/>
      <c r="D133" s="17"/>
      <c r="H133" s="579"/>
      <c r="K133"/>
      <c r="L133"/>
      <c r="M133"/>
      <c r="N133"/>
      <c r="O133"/>
    </row>
    <row r="134" spans="1:15" s="109" customFormat="1" ht="40" customHeight="1" x14ac:dyDescent="0.2">
      <c r="A134" s="8"/>
      <c r="B134" s="1098"/>
      <c r="C134" s="17"/>
      <c r="D134" s="17"/>
      <c r="H134" s="579"/>
      <c r="K134"/>
      <c r="L134"/>
      <c r="M134"/>
      <c r="N134"/>
      <c r="O134"/>
    </row>
    <row r="135" spans="1:15" s="109" customFormat="1" ht="40" customHeight="1" x14ac:dyDescent="0.2">
      <c r="A135" s="8"/>
      <c r="B135" s="1098"/>
      <c r="C135" s="17"/>
      <c r="D135" s="17"/>
      <c r="H135" s="579"/>
      <c r="K135"/>
      <c r="L135"/>
      <c r="M135"/>
      <c r="N135"/>
      <c r="O135"/>
    </row>
    <row r="136" spans="1:15" s="109" customFormat="1" ht="40" customHeight="1" x14ac:dyDescent="0.2">
      <c r="A136" s="8"/>
      <c r="B136" s="1098"/>
      <c r="C136" s="17"/>
      <c r="D136" s="17"/>
      <c r="H136" s="579"/>
      <c r="K136"/>
      <c r="L136"/>
      <c r="M136"/>
      <c r="N136"/>
      <c r="O136"/>
    </row>
    <row r="137" spans="1:15" s="109" customFormat="1" ht="40" customHeight="1" x14ac:dyDescent="0.2">
      <c r="A137" s="8"/>
      <c r="B137" s="1098"/>
      <c r="C137" s="17"/>
      <c r="D137" s="17"/>
      <c r="H137" s="579"/>
      <c r="K137"/>
      <c r="L137"/>
      <c r="M137"/>
      <c r="N137"/>
      <c r="O137"/>
    </row>
    <row r="138" spans="1:15" s="109" customFormat="1" ht="40" customHeight="1" x14ac:dyDescent="0.2">
      <c r="A138" s="8"/>
      <c r="B138" s="1098"/>
      <c r="C138" s="17"/>
      <c r="D138" s="17"/>
      <c r="H138" s="579"/>
      <c r="K138"/>
      <c r="L138"/>
      <c r="M138"/>
      <c r="N138"/>
      <c r="O138"/>
    </row>
    <row r="139" spans="1:15" s="109" customFormat="1" ht="40" customHeight="1" x14ac:dyDescent="0.2">
      <c r="A139" s="8"/>
      <c r="B139" s="1098"/>
      <c r="C139" s="17"/>
      <c r="D139" s="17"/>
      <c r="H139" s="579"/>
      <c r="K139"/>
      <c r="L139"/>
      <c r="M139"/>
      <c r="N139"/>
      <c r="O139"/>
    </row>
    <row r="140" spans="1:15" s="109" customFormat="1" ht="40" customHeight="1" x14ac:dyDescent="0.2">
      <c r="A140" s="8"/>
      <c r="B140" s="1098"/>
      <c r="C140" s="17"/>
      <c r="D140" s="17"/>
      <c r="H140" s="579"/>
      <c r="K140"/>
      <c r="L140"/>
      <c r="M140"/>
      <c r="N140"/>
      <c r="O140"/>
    </row>
    <row r="141" spans="1:15" s="109" customFormat="1" ht="40" customHeight="1" x14ac:dyDescent="0.2">
      <c r="A141" s="8"/>
      <c r="B141" s="1098"/>
      <c r="C141" s="17"/>
      <c r="D141" s="17"/>
      <c r="H141" s="579"/>
      <c r="K141"/>
      <c r="L141"/>
      <c r="M141"/>
      <c r="N141"/>
      <c r="O141"/>
    </row>
    <row r="142" spans="1:15" s="109" customFormat="1" ht="40" customHeight="1" x14ac:dyDescent="0.2">
      <c r="A142" s="8"/>
      <c r="B142" s="1098"/>
      <c r="C142" s="17"/>
      <c r="D142" s="17"/>
      <c r="H142" s="579"/>
      <c r="K142"/>
      <c r="L142"/>
      <c r="M142"/>
      <c r="N142"/>
      <c r="O142"/>
    </row>
    <row r="143" spans="1:15" s="109" customFormat="1" ht="40" customHeight="1" x14ac:dyDescent="0.2">
      <c r="A143" s="8"/>
      <c r="B143" s="1098"/>
      <c r="C143" s="17"/>
      <c r="D143" s="17"/>
      <c r="H143" s="579"/>
      <c r="K143"/>
      <c r="L143"/>
      <c r="M143"/>
      <c r="N143"/>
      <c r="O143"/>
    </row>
    <row r="144" spans="1:15" s="109" customFormat="1" ht="40" customHeight="1" x14ac:dyDescent="0.2">
      <c r="A144" s="8"/>
      <c r="B144" s="1098"/>
      <c r="C144" s="17"/>
      <c r="D144" s="17"/>
      <c r="H144" s="579"/>
      <c r="K144"/>
      <c r="L144"/>
      <c r="M144"/>
      <c r="N144"/>
      <c r="O144"/>
    </row>
    <row r="145" spans="1:15" s="109" customFormat="1" ht="40" customHeight="1" x14ac:dyDescent="0.2">
      <c r="A145" s="8"/>
      <c r="B145" s="1098"/>
      <c r="C145" s="17"/>
      <c r="D145" s="17"/>
      <c r="H145" s="579"/>
      <c r="K145"/>
      <c r="L145"/>
      <c r="M145"/>
      <c r="N145"/>
      <c r="O145"/>
    </row>
    <row r="146" spans="1:15" s="109" customFormat="1" ht="40" customHeight="1" x14ac:dyDescent="0.2">
      <c r="A146" s="8"/>
      <c r="B146" s="1098"/>
      <c r="C146" s="17"/>
      <c r="D146" s="17"/>
      <c r="H146" s="579"/>
      <c r="K146"/>
      <c r="L146"/>
      <c r="M146"/>
      <c r="N146"/>
      <c r="O146"/>
    </row>
    <row r="147" spans="1:15" s="109" customFormat="1" ht="40" customHeight="1" x14ac:dyDescent="0.2">
      <c r="A147" s="8"/>
      <c r="B147" s="1098"/>
      <c r="C147" s="17"/>
      <c r="D147" s="17"/>
      <c r="H147" s="579"/>
      <c r="K147"/>
      <c r="L147"/>
      <c r="M147"/>
      <c r="N147"/>
      <c r="O147"/>
    </row>
    <row r="148" spans="1:15" s="109" customFormat="1" ht="40" customHeight="1" x14ac:dyDescent="0.2">
      <c r="A148" s="8"/>
      <c r="B148" s="1098"/>
      <c r="C148" s="17"/>
      <c r="D148" s="17"/>
      <c r="H148" s="579"/>
      <c r="K148"/>
      <c r="L148"/>
      <c r="M148"/>
      <c r="N148"/>
      <c r="O148"/>
    </row>
    <row r="149" spans="1:15" s="109" customFormat="1" ht="40" customHeight="1" x14ac:dyDescent="0.2">
      <c r="A149" s="8"/>
      <c r="B149" s="1098"/>
      <c r="C149" s="17"/>
      <c r="D149" s="17"/>
      <c r="H149" s="579"/>
      <c r="K149"/>
      <c r="L149"/>
      <c r="M149"/>
      <c r="N149"/>
      <c r="O149"/>
    </row>
    <row r="150" spans="1:15" s="109" customFormat="1" ht="40" customHeight="1" x14ac:dyDescent="0.2">
      <c r="A150" s="8"/>
      <c r="B150" s="1098"/>
      <c r="C150" s="17"/>
      <c r="D150" s="17"/>
      <c r="H150" s="579"/>
      <c r="K150"/>
      <c r="L150"/>
      <c r="M150"/>
      <c r="N150"/>
      <c r="O150"/>
    </row>
    <row r="151" spans="1:15" s="109" customFormat="1" ht="40" customHeight="1" x14ac:dyDescent="0.2">
      <c r="A151" s="8"/>
      <c r="B151" s="1098"/>
      <c r="C151" s="17"/>
      <c r="D151" s="17"/>
      <c r="H151" s="579"/>
      <c r="K151"/>
      <c r="L151"/>
      <c r="M151"/>
      <c r="N151"/>
      <c r="O151"/>
    </row>
    <row r="152" spans="1:15" s="109" customFormat="1" ht="40" customHeight="1" x14ac:dyDescent="0.2">
      <c r="A152" s="8"/>
      <c r="B152" s="1098"/>
      <c r="C152" s="17"/>
      <c r="D152" s="17"/>
      <c r="H152" s="579"/>
      <c r="K152"/>
      <c r="L152"/>
      <c r="M152"/>
      <c r="N152"/>
      <c r="O152"/>
    </row>
    <row r="153" spans="1:15" s="109" customFormat="1" ht="40" customHeight="1" x14ac:dyDescent="0.2">
      <c r="A153" s="8"/>
      <c r="B153" s="1098"/>
      <c r="C153" s="17"/>
      <c r="D153" s="17"/>
      <c r="H153" s="579"/>
      <c r="K153"/>
      <c r="L153"/>
      <c r="M153"/>
      <c r="N153"/>
      <c r="O153"/>
    </row>
    <row r="154" spans="1:15" s="109" customFormat="1" ht="40" customHeight="1" x14ac:dyDescent="0.2">
      <c r="A154" s="8"/>
      <c r="B154" s="1098"/>
      <c r="C154" s="17"/>
      <c r="D154" s="17"/>
      <c r="H154" s="579"/>
      <c r="K154"/>
      <c r="L154"/>
      <c r="M154"/>
      <c r="N154"/>
      <c r="O154"/>
    </row>
    <row r="155" spans="1:15" s="109" customFormat="1" ht="40" customHeight="1" x14ac:dyDescent="0.2">
      <c r="A155" s="8"/>
      <c r="B155" s="1098"/>
      <c r="C155" s="17"/>
      <c r="D155" s="17"/>
      <c r="H155" s="579"/>
      <c r="K155"/>
      <c r="L155"/>
      <c r="M155"/>
      <c r="N155"/>
      <c r="O155"/>
    </row>
    <row r="156" spans="1:15" s="109" customFormat="1" ht="40" customHeight="1" x14ac:dyDescent="0.2">
      <c r="A156" s="8"/>
      <c r="B156" s="1098"/>
      <c r="C156" s="17"/>
      <c r="D156" s="17"/>
      <c r="H156" s="579"/>
      <c r="K156"/>
      <c r="L156"/>
      <c r="M156"/>
      <c r="N156"/>
      <c r="O156"/>
    </row>
    <row r="157" spans="1:15" s="109" customFormat="1" ht="40" customHeight="1" x14ac:dyDescent="0.2">
      <c r="A157" s="8"/>
      <c r="B157" s="1098"/>
      <c r="C157" s="17"/>
      <c r="D157" s="17"/>
      <c r="H157" s="579"/>
      <c r="K157"/>
      <c r="L157"/>
      <c r="M157"/>
      <c r="N157"/>
      <c r="O157"/>
    </row>
    <row r="158" spans="1:15" s="109" customFormat="1" ht="40" customHeight="1" x14ac:dyDescent="0.2">
      <c r="A158" s="8"/>
      <c r="B158" s="1098"/>
      <c r="C158" s="17"/>
      <c r="D158" s="17"/>
      <c r="H158" s="579"/>
      <c r="K158"/>
      <c r="L158"/>
      <c r="M158"/>
      <c r="N158"/>
      <c r="O158"/>
    </row>
    <row r="159" spans="1:15" s="109" customFormat="1" ht="40" customHeight="1" x14ac:dyDescent="0.2">
      <c r="A159" s="8"/>
      <c r="B159" s="1098"/>
      <c r="C159" s="17"/>
      <c r="D159" s="17"/>
      <c r="H159" s="579"/>
      <c r="K159"/>
      <c r="L159"/>
      <c r="M159"/>
      <c r="N159"/>
      <c r="O159"/>
    </row>
    <row r="160" spans="1:15" s="109" customFormat="1" ht="40" customHeight="1" x14ac:dyDescent="0.2">
      <c r="A160" s="8"/>
      <c r="B160" s="1098"/>
      <c r="C160" s="17"/>
      <c r="D160" s="17"/>
      <c r="H160" s="579"/>
      <c r="K160"/>
      <c r="L160"/>
      <c r="M160"/>
      <c r="N160"/>
      <c r="O160"/>
    </row>
    <row r="161" spans="1:15" s="109" customFormat="1" ht="40" customHeight="1" x14ac:dyDescent="0.2">
      <c r="A161" s="8"/>
      <c r="B161" s="1098"/>
      <c r="C161" s="17"/>
      <c r="D161" s="17"/>
      <c r="H161" s="579"/>
      <c r="K161"/>
      <c r="L161"/>
      <c r="M161"/>
      <c r="N161"/>
      <c r="O161"/>
    </row>
    <row r="162" spans="1:15" s="109" customFormat="1" ht="40" customHeight="1" x14ac:dyDescent="0.2">
      <c r="A162" s="8"/>
      <c r="B162" s="1098"/>
      <c r="C162" s="17"/>
      <c r="D162" s="17"/>
      <c r="H162" s="579"/>
      <c r="K162"/>
      <c r="L162"/>
      <c r="M162"/>
      <c r="N162"/>
      <c r="O162"/>
    </row>
    <row r="163" spans="1:15" s="109" customFormat="1" ht="40" customHeight="1" x14ac:dyDescent="0.2">
      <c r="A163" s="8"/>
      <c r="B163" s="1098"/>
      <c r="C163" s="17"/>
      <c r="D163" s="17"/>
      <c r="H163" s="579"/>
      <c r="K163"/>
      <c r="L163"/>
      <c r="M163"/>
      <c r="N163"/>
      <c r="O163"/>
    </row>
    <row r="164" spans="1:15" s="109" customFormat="1" ht="40" customHeight="1" x14ac:dyDescent="0.2">
      <c r="A164" s="8"/>
      <c r="B164" s="1098"/>
      <c r="C164" s="17"/>
      <c r="D164" s="17"/>
      <c r="H164" s="579"/>
      <c r="K164"/>
      <c r="L164"/>
      <c r="M164"/>
      <c r="N164"/>
      <c r="O164"/>
    </row>
    <row r="165" spans="1:15" s="109" customFormat="1" ht="40" customHeight="1" x14ac:dyDescent="0.2">
      <c r="A165" s="8"/>
      <c r="B165" s="1098"/>
      <c r="C165" s="17"/>
      <c r="D165" s="17"/>
      <c r="H165" s="579"/>
      <c r="K165"/>
      <c r="L165"/>
      <c r="M165"/>
      <c r="N165"/>
      <c r="O165"/>
    </row>
    <row r="166" spans="1:15" s="109" customFormat="1" ht="40" customHeight="1" x14ac:dyDescent="0.2">
      <c r="A166" s="8"/>
      <c r="B166" s="1098"/>
      <c r="C166" s="17"/>
      <c r="D166" s="17"/>
      <c r="H166" s="579"/>
      <c r="K166"/>
      <c r="L166"/>
      <c r="M166"/>
      <c r="N166"/>
      <c r="O166"/>
    </row>
    <row r="167" spans="1:15" s="109" customFormat="1" ht="40" customHeight="1" x14ac:dyDescent="0.2">
      <c r="A167" s="8"/>
      <c r="B167" s="1098"/>
      <c r="C167" s="17"/>
      <c r="D167" s="17"/>
      <c r="H167" s="579"/>
      <c r="K167"/>
      <c r="L167"/>
      <c r="M167"/>
      <c r="N167"/>
      <c r="O167"/>
    </row>
    <row r="168" spans="1:15" s="109" customFormat="1" ht="40" customHeight="1" x14ac:dyDescent="0.2">
      <c r="A168" s="8"/>
      <c r="B168" s="1098"/>
      <c r="C168" s="17"/>
      <c r="D168" s="17"/>
      <c r="H168" s="579"/>
      <c r="K168"/>
      <c r="L168"/>
      <c r="M168"/>
      <c r="N168"/>
      <c r="O168"/>
    </row>
    <row r="169" spans="1:15" s="109" customFormat="1" ht="40" customHeight="1" x14ac:dyDescent="0.2">
      <c r="A169" s="8"/>
      <c r="B169" s="1098"/>
      <c r="C169" s="17"/>
      <c r="D169" s="17"/>
      <c r="H169" s="579"/>
      <c r="K169"/>
      <c r="L169"/>
      <c r="M169"/>
      <c r="N169"/>
      <c r="O169"/>
    </row>
    <row r="170" spans="1:15" s="109" customFormat="1" ht="40" customHeight="1" x14ac:dyDescent="0.2">
      <c r="A170" s="8"/>
      <c r="B170" s="1098"/>
      <c r="C170" s="17"/>
      <c r="D170" s="17"/>
      <c r="H170" s="579"/>
      <c r="K170"/>
      <c r="L170"/>
      <c r="M170"/>
      <c r="N170"/>
      <c r="O170"/>
    </row>
    <row r="171" spans="1:15" s="109" customFormat="1" ht="40" customHeight="1" x14ac:dyDescent="0.2">
      <c r="A171" s="8"/>
      <c r="B171" s="1098"/>
      <c r="C171" s="17"/>
      <c r="D171" s="17"/>
      <c r="H171" s="579"/>
      <c r="K171"/>
      <c r="L171"/>
      <c r="M171"/>
      <c r="N171"/>
      <c r="O171"/>
    </row>
    <row r="172" spans="1:15" s="109" customFormat="1" ht="40" customHeight="1" x14ac:dyDescent="0.2">
      <c r="A172" s="8"/>
      <c r="B172" s="1098"/>
      <c r="C172" s="17"/>
      <c r="D172" s="17"/>
      <c r="H172" s="579"/>
      <c r="K172"/>
      <c r="L172"/>
      <c r="M172"/>
      <c r="N172"/>
      <c r="O172"/>
    </row>
    <row r="173" spans="1:15" s="109" customFormat="1" ht="40" customHeight="1" x14ac:dyDescent="0.2">
      <c r="A173" s="8"/>
      <c r="B173" s="1098"/>
      <c r="C173" s="17"/>
      <c r="D173" s="17"/>
      <c r="H173" s="579"/>
      <c r="K173"/>
      <c r="L173"/>
      <c r="M173"/>
      <c r="N173"/>
      <c r="O173"/>
    </row>
    <row r="174" spans="1:15" s="109" customFormat="1" ht="40" customHeight="1" x14ac:dyDescent="0.2">
      <c r="A174" s="8"/>
      <c r="B174" s="1098"/>
      <c r="C174" s="17"/>
      <c r="D174" s="17"/>
      <c r="H174" s="579"/>
      <c r="K174"/>
      <c r="L174"/>
      <c r="M174"/>
      <c r="N174"/>
      <c r="O174"/>
    </row>
    <row r="175" spans="1:15" s="109" customFormat="1" ht="40" customHeight="1" x14ac:dyDescent="0.2">
      <c r="A175" s="8"/>
      <c r="B175" s="1098"/>
      <c r="C175" s="17"/>
      <c r="D175" s="17"/>
      <c r="H175" s="579"/>
      <c r="K175"/>
      <c r="L175"/>
      <c r="M175"/>
      <c r="N175"/>
      <c r="O175"/>
    </row>
    <row r="176" spans="1:15" s="109" customFormat="1" ht="40" customHeight="1" x14ac:dyDescent="0.2">
      <c r="A176" s="8"/>
      <c r="B176" s="1098"/>
      <c r="C176" s="17"/>
      <c r="D176" s="17"/>
      <c r="H176" s="579"/>
      <c r="K176"/>
      <c r="L176"/>
      <c r="M176"/>
      <c r="N176"/>
      <c r="O176"/>
    </row>
    <row r="177" spans="1:15" s="109" customFormat="1" ht="40" customHeight="1" x14ac:dyDescent="0.2">
      <c r="A177" s="8"/>
      <c r="B177" s="1098"/>
      <c r="C177" s="17"/>
      <c r="D177" s="17"/>
      <c r="H177" s="579"/>
      <c r="K177"/>
      <c r="L177"/>
      <c r="M177"/>
      <c r="N177"/>
      <c r="O177"/>
    </row>
    <row r="178" spans="1:15" s="109" customFormat="1" ht="40" customHeight="1" x14ac:dyDescent="0.2">
      <c r="A178" s="8"/>
      <c r="B178" s="1098"/>
      <c r="C178" s="17"/>
      <c r="D178" s="17"/>
      <c r="H178" s="579"/>
      <c r="K178"/>
      <c r="L178"/>
      <c r="M178"/>
      <c r="N178"/>
      <c r="O178"/>
    </row>
    <row r="179" spans="1:15" s="109" customFormat="1" ht="40" customHeight="1" x14ac:dyDescent="0.2">
      <c r="A179" s="8"/>
      <c r="B179" s="1098"/>
      <c r="C179" s="17"/>
      <c r="D179" s="17"/>
      <c r="H179" s="579"/>
      <c r="K179"/>
      <c r="L179"/>
      <c r="M179"/>
      <c r="N179"/>
      <c r="O179"/>
    </row>
    <row r="180" spans="1:15" s="109" customFormat="1" ht="40" customHeight="1" x14ac:dyDescent="0.2">
      <c r="A180" s="8"/>
      <c r="B180" s="1098"/>
      <c r="C180" s="17"/>
      <c r="D180" s="17"/>
      <c r="H180" s="579"/>
      <c r="K180"/>
      <c r="L180"/>
      <c r="M180"/>
      <c r="N180"/>
      <c r="O180"/>
    </row>
    <row r="181" spans="1:15" s="109" customFormat="1" ht="40" customHeight="1" x14ac:dyDescent="0.2">
      <c r="A181" s="8"/>
      <c r="B181" s="1098"/>
      <c r="C181" s="17"/>
      <c r="D181" s="17"/>
      <c r="H181" s="579"/>
      <c r="K181"/>
      <c r="L181"/>
      <c r="M181"/>
      <c r="N181"/>
      <c r="O181"/>
    </row>
    <row r="182" spans="1:15" s="109" customFormat="1" ht="40" customHeight="1" x14ac:dyDescent="0.2">
      <c r="A182" s="8"/>
      <c r="B182" s="1098"/>
      <c r="C182" s="17"/>
      <c r="D182" s="17"/>
      <c r="H182" s="579"/>
      <c r="K182"/>
      <c r="L182"/>
      <c r="M182"/>
      <c r="N182"/>
      <c r="O182"/>
    </row>
    <row r="183" spans="1:15" s="109" customFormat="1" ht="40" customHeight="1" x14ac:dyDescent="0.2">
      <c r="A183" s="8"/>
      <c r="B183" s="1098"/>
      <c r="C183" s="17"/>
      <c r="D183" s="17"/>
      <c r="H183" s="579"/>
      <c r="K183"/>
      <c r="L183"/>
      <c r="M183"/>
      <c r="N183"/>
      <c r="O183"/>
    </row>
    <row r="184" spans="1:15" s="109" customFormat="1" ht="40" customHeight="1" x14ac:dyDescent="0.2">
      <c r="A184" s="8"/>
      <c r="B184" s="1098"/>
      <c r="C184" s="17"/>
      <c r="D184" s="17"/>
      <c r="H184" s="579"/>
      <c r="K184"/>
      <c r="L184"/>
      <c r="M184"/>
      <c r="N184"/>
      <c r="O184"/>
    </row>
    <row r="185" spans="1:15" s="109" customFormat="1" ht="40" customHeight="1" x14ac:dyDescent="0.2">
      <c r="A185" s="8"/>
      <c r="B185" s="1098"/>
      <c r="C185" s="17"/>
      <c r="D185" s="17"/>
      <c r="H185" s="579"/>
      <c r="K185"/>
      <c r="L185"/>
      <c r="M185"/>
      <c r="N185"/>
      <c r="O185"/>
    </row>
    <row r="186" spans="1:15" s="109" customFormat="1" ht="40" customHeight="1" x14ac:dyDescent="0.2">
      <c r="A186" s="8"/>
      <c r="B186" s="1098"/>
      <c r="C186" s="17"/>
      <c r="D186" s="17"/>
      <c r="H186" s="579"/>
      <c r="K186"/>
      <c r="L186"/>
      <c r="M186"/>
      <c r="N186"/>
      <c r="O186"/>
    </row>
    <row r="187" spans="1:15" s="109" customFormat="1" ht="40" customHeight="1" x14ac:dyDescent="0.2">
      <c r="A187" s="8"/>
      <c r="B187" s="1098"/>
      <c r="C187" s="17"/>
      <c r="D187" s="17"/>
      <c r="H187" s="579"/>
      <c r="K187"/>
      <c r="L187"/>
      <c r="M187"/>
      <c r="N187"/>
      <c r="O187"/>
    </row>
    <row r="188" spans="1:15" s="109" customFormat="1" ht="40" customHeight="1" x14ac:dyDescent="0.2">
      <c r="A188" s="8"/>
      <c r="B188" s="1098"/>
      <c r="C188" s="17"/>
      <c r="D188" s="17"/>
      <c r="H188" s="579"/>
      <c r="K188"/>
      <c r="L188"/>
      <c r="M188"/>
      <c r="N188"/>
      <c r="O188"/>
    </row>
    <row r="189" spans="1:15" s="109" customFormat="1" ht="40" customHeight="1" x14ac:dyDescent="0.2">
      <c r="A189" s="8"/>
      <c r="B189" s="1098"/>
      <c r="C189" s="17"/>
      <c r="D189" s="17"/>
      <c r="H189" s="579"/>
      <c r="K189"/>
      <c r="L189"/>
      <c r="M189"/>
      <c r="N189"/>
      <c r="O189"/>
    </row>
    <row r="190" spans="1:15" s="109" customFormat="1" ht="40" customHeight="1" x14ac:dyDescent="0.2">
      <c r="A190" s="8"/>
      <c r="B190" s="1098"/>
      <c r="C190" s="17"/>
      <c r="D190" s="17"/>
      <c r="H190" s="579"/>
      <c r="K190"/>
      <c r="L190"/>
      <c r="M190"/>
      <c r="N190"/>
      <c r="O190"/>
    </row>
    <row r="191" spans="1:15" s="109" customFormat="1" ht="40" customHeight="1" x14ac:dyDescent="0.2">
      <c r="A191" s="8"/>
      <c r="B191" s="1098"/>
      <c r="C191" s="17"/>
      <c r="D191" s="17"/>
      <c r="H191" s="579"/>
      <c r="K191"/>
      <c r="L191"/>
      <c r="M191"/>
      <c r="N191"/>
      <c r="O191"/>
    </row>
    <row r="192" spans="1:15" s="109" customFormat="1" ht="40" customHeight="1" x14ac:dyDescent="0.2">
      <c r="A192" s="8"/>
      <c r="B192" s="1098"/>
      <c r="C192" s="17"/>
      <c r="D192" s="17"/>
      <c r="H192" s="579"/>
      <c r="K192"/>
      <c r="L192"/>
      <c r="M192"/>
      <c r="N192"/>
      <c r="O192"/>
    </row>
    <row r="193" spans="1:15" s="109" customFormat="1" ht="40" customHeight="1" x14ac:dyDescent="0.2">
      <c r="A193" s="8"/>
      <c r="B193" s="1098"/>
      <c r="C193" s="17"/>
      <c r="D193" s="17"/>
      <c r="H193" s="579"/>
      <c r="K193"/>
      <c r="L193"/>
      <c r="M193"/>
      <c r="N193"/>
      <c r="O193"/>
    </row>
    <row r="194" spans="1:15" s="109" customFormat="1" ht="40" customHeight="1" x14ac:dyDescent="0.2">
      <c r="A194" s="8"/>
      <c r="B194" s="1098"/>
      <c r="C194" s="17"/>
      <c r="D194" s="17"/>
      <c r="H194" s="579"/>
      <c r="K194"/>
      <c r="L194"/>
      <c r="M194"/>
      <c r="N194"/>
      <c r="O194"/>
    </row>
    <row r="195" spans="1:15" ht="40" customHeight="1" x14ac:dyDescent="0.2">
      <c r="H195" s="579"/>
    </row>
    <row r="196" spans="1:15" ht="40" customHeight="1" x14ac:dyDescent="0.2">
      <c r="H196" s="579"/>
    </row>
    <row r="197" spans="1:15" ht="40" customHeight="1" x14ac:dyDescent="0.2">
      <c r="H197" s="579"/>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7083F-5834-3443-A5A3-902605A49A53}">
  <dimension ref="A1:O21"/>
  <sheetViews>
    <sheetView workbookViewId="0">
      <selection activeCell="P12" sqref="P12"/>
    </sheetView>
  </sheetViews>
  <sheetFormatPr baseColWidth="10" defaultRowHeight="16" x14ac:dyDescent="0.2"/>
  <cols>
    <col min="1" max="1" width="21.5" customWidth="1"/>
    <col min="2" max="2" width="12" customWidth="1"/>
    <col min="12" max="12" width="12.33203125" customWidth="1"/>
  </cols>
  <sheetData>
    <row r="1" spans="1:15" x14ac:dyDescent="0.2">
      <c r="A1" t="s">
        <v>2069</v>
      </c>
    </row>
    <row r="3" spans="1:15" x14ac:dyDescent="0.2">
      <c r="B3" s="2472" t="s">
        <v>2070</v>
      </c>
      <c r="C3" s="2472"/>
      <c r="D3" s="2472"/>
      <c r="E3" s="2472"/>
      <c r="F3" s="2472"/>
      <c r="G3" s="2472"/>
      <c r="H3" s="2472"/>
      <c r="J3" t="s">
        <v>2071</v>
      </c>
    </row>
    <row r="4" spans="1:15" ht="27" customHeight="1" x14ac:dyDescent="0.2">
      <c r="B4" s="2232" t="s">
        <v>1010</v>
      </c>
      <c r="C4" s="1" t="s">
        <v>2080</v>
      </c>
      <c r="D4" s="1" t="s">
        <v>2079</v>
      </c>
      <c r="E4" s="5" t="s">
        <v>2075</v>
      </c>
      <c r="F4" s="5" t="s">
        <v>2076</v>
      </c>
      <c r="G4" s="5" t="s">
        <v>2077</v>
      </c>
      <c r="H4" s="1" t="s">
        <v>1059</v>
      </c>
      <c r="J4" s="2232" t="s">
        <v>1010</v>
      </c>
      <c r="K4" s="1" t="s">
        <v>1058</v>
      </c>
      <c r="L4" s="1" t="s">
        <v>2072</v>
      </c>
      <c r="O4" s="1" t="s">
        <v>2073</v>
      </c>
    </row>
    <row r="5" spans="1:15" x14ac:dyDescent="0.2">
      <c r="B5" s="593"/>
      <c r="C5" s="259" t="s">
        <v>434</v>
      </c>
      <c r="D5" s="259" t="s">
        <v>435</v>
      </c>
      <c r="E5" s="259" t="s">
        <v>1681</v>
      </c>
      <c r="F5" s="259" t="s">
        <v>436</v>
      </c>
      <c r="G5" s="259" t="s">
        <v>437</v>
      </c>
      <c r="H5" s="259" t="s">
        <v>489</v>
      </c>
      <c r="J5" s="593"/>
      <c r="K5" s="5" t="s">
        <v>2074</v>
      </c>
      <c r="L5" s="5" t="s">
        <v>2075</v>
      </c>
      <c r="M5" s="5" t="s">
        <v>2076</v>
      </c>
      <c r="N5" s="5" t="s">
        <v>2077</v>
      </c>
    </row>
    <row r="6" spans="1:15" hidden="1" x14ac:dyDescent="0.2">
      <c r="B6" s="593"/>
      <c r="C6" s="5"/>
      <c r="D6" s="5"/>
      <c r="E6" s="5"/>
      <c r="F6" s="5"/>
      <c r="G6" s="5"/>
      <c r="H6" s="5"/>
      <c r="J6" s="593"/>
      <c r="K6" s="5"/>
      <c r="L6" s="141">
        <f>'TEST_pour PROTOTYPE'!AA424</f>
        <v>0.25</v>
      </c>
      <c r="M6" s="141">
        <f>'TEST_pour PROTOTYPE'!AB424</f>
        <v>0.38</v>
      </c>
      <c r="N6" s="141">
        <f>'TEST_pour PROTOTYPE'!AC424</f>
        <v>0.37</v>
      </c>
    </row>
    <row r="7" spans="1:15" ht="20" customHeight="1" x14ac:dyDescent="0.2">
      <c r="A7" t="s">
        <v>1535</v>
      </c>
      <c r="B7" s="1686">
        <f>Test_Bible!V259</f>
        <v>391</v>
      </c>
      <c r="C7" s="90">
        <f>Test_Bible!X259</f>
        <v>0</v>
      </c>
      <c r="D7" s="90">
        <f>Test_Bible!Y259</f>
        <v>66</v>
      </c>
      <c r="E7" s="90">
        <f>Test_Bible!Z259</f>
        <v>132</v>
      </c>
      <c r="F7" s="2238">
        <f>Test_Bible!AA259</f>
        <v>264</v>
      </c>
      <c r="G7" s="90">
        <f>Test_Bible!AB259</f>
        <v>462</v>
      </c>
      <c r="H7" s="90">
        <f>Test_Bible!AC259</f>
        <v>660</v>
      </c>
      <c r="I7" s="2165" t="s">
        <v>604</v>
      </c>
      <c r="J7" s="1686">
        <f>'Modèle Calcul A-R + Sommaire'!AG14</f>
        <v>277</v>
      </c>
      <c r="K7" s="90">
        <f>Test_Bible!AF259</f>
        <v>0</v>
      </c>
      <c r="L7" s="55">
        <f>'Modèle Calcul A-R + Sommaire'!AJ14</f>
        <v>227</v>
      </c>
      <c r="M7" s="2234">
        <f>L7+((O7-L7)*L$6)</f>
        <v>300.25</v>
      </c>
      <c r="N7" s="2233">
        <f>M7+((O7-L7)*M$6)</f>
        <v>411.59000000000003</v>
      </c>
      <c r="O7">
        <f>'Modèle Calcul A-R + Sommaire'!AK14</f>
        <v>520</v>
      </c>
    </row>
    <row r="8" spans="1:15" ht="20" customHeight="1" x14ac:dyDescent="0.2">
      <c r="B8" s="593"/>
      <c r="C8" s="5"/>
      <c r="D8" s="5"/>
      <c r="E8" s="5"/>
      <c r="F8" s="5"/>
      <c r="G8" s="5"/>
      <c r="H8" s="5"/>
      <c r="I8" s="2" t="s">
        <v>603</v>
      </c>
      <c r="J8" s="593">
        <f>'Modèle Calcul A-R + Sommaire'!AH14</f>
        <v>162</v>
      </c>
      <c r="K8" s="90">
        <f>Test_Bible!AF260</f>
        <v>0</v>
      </c>
      <c r="L8" s="55">
        <f>'Modèle Calcul A-R + Sommaire'!AL14</f>
        <v>85</v>
      </c>
      <c r="M8" s="2234">
        <f>L8+((O8-L8)*L$6)</f>
        <v>124.5</v>
      </c>
      <c r="N8" s="2233">
        <f>M8+((O8-L8)*M$6)</f>
        <v>184.54</v>
      </c>
      <c r="O8">
        <f>'Modèle Calcul A-R + Sommaire'!AM14</f>
        <v>243</v>
      </c>
    </row>
    <row r="9" spans="1:15" ht="20" customHeight="1" x14ac:dyDescent="0.2">
      <c r="B9" s="593"/>
      <c r="C9" s="5"/>
      <c r="D9" s="5"/>
      <c r="E9" s="5"/>
      <c r="F9" s="5"/>
      <c r="G9" s="5"/>
      <c r="H9" s="5"/>
      <c r="I9" s="2" t="s">
        <v>605</v>
      </c>
      <c r="J9" s="593">
        <f>'Modèle Calcul A-R + Sommaire'!AI14</f>
        <v>201</v>
      </c>
      <c r="K9" s="90">
        <f>Test_Bible!AF261</f>
        <v>0</v>
      </c>
      <c r="L9" s="2235">
        <f>'Modèle Calcul A-R + Sommaire'!AN14</f>
        <v>164</v>
      </c>
      <c r="M9" s="2233">
        <f>L9+((O9-L9)*L$6)</f>
        <v>200</v>
      </c>
      <c r="N9" s="2233">
        <f>M9+((O9-L9)*M$6)</f>
        <v>254.72</v>
      </c>
      <c r="O9">
        <f>'Modèle Calcul A-R + Sommaire'!AO14</f>
        <v>308</v>
      </c>
    </row>
    <row r="10" spans="1:15" ht="30" customHeight="1" x14ac:dyDescent="0.2">
      <c r="B10" s="593"/>
      <c r="C10" s="5"/>
      <c r="D10" s="5"/>
      <c r="E10" s="5"/>
      <c r="F10" s="5"/>
      <c r="G10" s="5"/>
      <c r="H10" s="5"/>
      <c r="J10" s="593"/>
      <c r="K10" s="5"/>
    </row>
    <row r="11" spans="1:15" ht="20" customHeight="1" x14ac:dyDescent="0.2">
      <c r="A11" t="s">
        <v>242</v>
      </c>
      <c r="B11" s="1686">
        <f>Test_Bible!V427</f>
        <v>160</v>
      </c>
      <c r="C11" s="90">
        <f>Test_Bible!X427</f>
        <v>0</v>
      </c>
      <c r="D11" s="90">
        <f>Test_Bible!Y427</f>
        <v>27</v>
      </c>
      <c r="E11" s="90">
        <f>Test_Bible!Z427</f>
        <v>54</v>
      </c>
      <c r="F11" s="2238">
        <f>Test_Bible!AA427</f>
        <v>108</v>
      </c>
      <c r="G11" s="90">
        <f>Test_Bible!AB427</f>
        <v>189</v>
      </c>
      <c r="H11" s="90">
        <f>Test_Bible!AC427</f>
        <v>270</v>
      </c>
      <c r="I11" s="2165" t="s">
        <v>604</v>
      </c>
      <c r="J11" s="1686">
        <f>'Modèle Calcul A-R + Sommaire'!AG15</f>
        <v>119</v>
      </c>
      <c r="K11" s="90">
        <f>Test_Bible!AF427</f>
        <v>0</v>
      </c>
      <c r="L11" s="817">
        <f>'Modèle Calcul A-R + Sommaire'!AJ15</f>
        <v>103</v>
      </c>
      <c r="M11" s="2233">
        <f>L11+((O11-L11)*L$6)</f>
        <v>134.75</v>
      </c>
      <c r="N11" s="2233">
        <f>M11+((O11-L11)*M$6)</f>
        <v>183.01</v>
      </c>
      <c r="O11">
        <f>'Modèle Calcul A-R + Sommaire'!AK15</f>
        <v>230</v>
      </c>
    </row>
    <row r="12" spans="1:15" ht="20" customHeight="1" x14ac:dyDescent="0.2">
      <c r="B12" s="593"/>
      <c r="C12" s="5"/>
      <c r="D12" s="5"/>
      <c r="E12" s="5"/>
      <c r="F12" s="5"/>
      <c r="G12" s="5"/>
      <c r="H12" s="5"/>
      <c r="I12" s="2" t="s">
        <v>603</v>
      </c>
      <c r="J12" s="593">
        <f>'Modèle Calcul A-R + Sommaire'!AH15</f>
        <v>42</v>
      </c>
      <c r="K12" s="2236">
        <v>0</v>
      </c>
      <c r="L12">
        <f>'Modèle Calcul A-R + Sommaire'!AL15</f>
        <v>53</v>
      </c>
      <c r="M12" s="2233">
        <f t="shared" ref="M12:M13" si="0">L12+((O12-L12)*L$6)</f>
        <v>65.75</v>
      </c>
      <c r="N12" s="2233">
        <f t="shared" ref="N12:N13" si="1">M12+((O12-L12)*M$6)</f>
        <v>85.13</v>
      </c>
      <c r="O12">
        <f>'Modèle Calcul A-R + Sommaire'!AM15</f>
        <v>104</v>
      </c>
    </row>
    <row r="13" spans="1:15" ht="20" customHeight="1" x14ac:dyDescent="0.2">
      <c r="B13" s="593"/>
      <c r="C13" s="5"/>
      <c r="D13" s="5"/>
      <c r="E13" s="5"/>
      <c r="F13" s="5"/>
      <c r="G13" s="5"/>
      <c r="H13" s="5"/>
      <c r="I13" s="2" t="s">
        <v>605</v>
      </c>
      <c r="J13" s="593">
        <f>'Modèle Calcul A-R + Sommaire'!AI15</f>
        <v>91</v>
      </c>
      <c r="K13" s="5">
        <v>0</v>
      </c>
      <c r="L13" s="817">
        <f>'Modèle Calcul A-R + Sommaire'!AN15</f>
        <v>89</v>
      </c>
      <c r="M13" s="2233">
        <f t="shared" si="0"/>
        <v>112.75</v>
      </c>
      <c r="N13" s="2233">
        <f t="shared" si="1"/>
        <v>148.85</v>
      </c>
      <c r="O13">
        <f>'Modèle Calcul A-R + Sommaire'!AO15</f>
        <v>184</v>
      </c>
    </row>
    <row r="14" spans="1:15" ht="30" customHeight="1" x14ac:dyDescent="0.2">
      <c r="B14" s="593"/>
      <c r="C14" s="5"/>
      <c r="D14" s="5"/>
      <c r="E14" s="5"/>
      <c r="F14" s="5"/>
      <c r="G14" s="5"/>
      <c r="H14" s="5"/>
      <c r="J14" s="593"/>
      <c r="K14" s="5"/>
    </row>
    <row r="15" spans="1:15" ht="20" customHeight="1" x14ac:dyDescent="0.2">
      <c r="A15" t="s">
        <v>307</v>
      </c>
      <c r="B15" s="1686">
        <f>Test_Bible!V380</f>
        <v>176</v>
      </c>
      <c r="C15" s="90">
        <f>Test_Bible!X380</f>
        <v>0</v>
      </c>
      <c r="D15" s="90">
        <f>Test_Bible!Y380</f>
        <v>51</v>
      </c>
      <c r="E15" s="2239">
        <f>Test_Bible!Z380</f>
        <v>102</v>
      </c>
      <c r="F15" s="90">
        <f>Test_Bible!AA380</f>
        <v>204</v>
      </c>
      <c r="G15" s="90">
        <f>Test_Bible!AB380</f>
        <v>357</v>
      </c>
      <c r="H15" s="90">
        <f>Test_Bible!AC380</f>
        <v>510</v>
      </c>
      <c r="I15" s="2165" t="s">
        <v>604</v>
      </c>
      <c r="J15" s="1686">
        <f>'Modèle Calcul A-R + Sommaire'!AG17</f>
        <v>103</v>
      </c>
      <c r="K15" s="90">
        <f>Test_Bible!AF380</f>
        <v>0</v>
      </c>
      <c r="L15">
        <f>'Modèle Calcul A-R + Sommaire'!AJ17</f>
        <v>64</v>
      </c>
      <c r="M15" s="2234">
        <f>L15+((O15-L15)*L$6)</f>
        <v>88</v>
      </c>
      <c r="N15" s="2233">
        <f>M15+((O15-L15)*M$6)</f>
        <v>124.48</v>
      </c>
      <c r="O15">
        <f>'Modèle Calcul A-R + Sommaire'!AK17</f>
        <v>160</v>
      </c>
    </row>
    <row r="16" spans="1:15" ht="20" customHeight="1" x14ac:dyDescent="0.2">
      <c r="B16" s="593"/>
      <c r="C16" s="5"/>
      <c r="D16" s="5"/>
      <c r="E16" s="5"/>
      <c r="F16" s="5"/>
      <c r="G16" s="5"/>
      <c r="H16" s="5"/>
      <c r="I16" s="2" t="s">
        <v>603</v>
      </c>
      <c r="J16" s="593">
        <f>'Modèle Calcul A-R + Sommaire'!AH17</f>
        <v>101</v>
      </c>
      <c r="K16" s="5">
        <v>0</v>
      </c>
      <c r="L16">
        <f>'Modèle Calcul A-R + Sommaire'!AL17</f>
        <v>43</v>
      </c>
      <c r="M16" s="2234">
        <f>L16+((O16-L16)*L$6)</f>
        <v>67.75</v>
      </c>
      <c r="N16" s="2240">
        <f>M16+((O16-L16)*M$6)</f>
        <v>105.37</v>
      </c>
      <c r="O16">
        <f>'Modèle Calcul A-R + Sommaire'!AM17</f>
        <v>142</v>
      </c>
    </row>
    <row r="17" spans="1:15" ht="20" customHeight="1" x14ac:dyDescent="0.2">
      <c r="B17" s="593"/>
      <c r="C17" s="5"/>
      <c r="D17" s="5"/>
      <c r="E17" s="5"/>
      <c r="F17" s="5"/>
      <c r="G17" s="5"/>
      <c r="H17" s="5"/>
      <c r="I17" s="2" t="s">
        <v>605</v>
      </c>
      <c r="J17" s="593"/>
      <c r="K17" s="5"/>
    </row>
    <row r="18" spans="1:15" ht="28" customHeight="1" x14ac:dyDescent="0.2">
      <c r="B18" s="593"/>
      <c r="C18" s="5"/>
      <c r="D18" s="5"/>
      <c r="E18" s="5"/>
      <c r="F18" s="5"/>
      <c r="G18" s="5"/>
      <c r="H18" s="5"/>
      <c r="J18" s="593"/>
      <c r="K18" s="5"/>
    </row>
    <row r="19" spans="1:15" ht="20" customHeight="1" x14ac:dyDescent="0.2">
      <c r="A19" t="s">
        <v>409</v>
      </c>
      <c r="B19" s="1686">
        <f>Test_Bible!V159</f>
        <v>88</v>
      </c>
      <c r="C19" s="90">
        <f>Test_Bible!X159</f>
        <v>0</v>
      </c>
      <c r="D19" s="90">
        <f>Test_Bible!Y159</f>
        <v>27</v>
      </c>
      <c r="E19" s="2239">
        <f>Test_Bible!Z159</f>
        <v>54</v>
      </c>
      <c r="F19" s="90">
        <f>Test_Bible!AA159</f>
        <v>108</v>
      </c>
      <c r="G19" s="90">
        <f>Test_Bible!AB159</f>
        <v>189</v>
      </c>
      <c r="H19" s="90">
        <f>Test_Bible!AC159</f>
        <v>270</v>
      </c>
      <c r="I19" s="2165" t="s">
        <v>604</v>
      </c>
      <c r="J19" s="1686">
        <f>'Modèle Calcul A-R + Sommaire'!AG19</f>
        <v>30</v>
      </c>
      <c r="K19" s="2237">
        <f>Test_Bible!AF159</f>
        <v>0</v>
      </c>
      <c r="L19" s="55">
        <f>'Modèle Calcul A-R + Sommaire'!AJ19</f>
        <v>102</v>
      </c>
      <c r="M19" s="2233">
        <f>L19+((O19-L19)*L$6)</f>
        <v>129</v>
      </c>
      <c r="N19" s="2233">
        <f>M19+((O19-L19)*M$6)</f>
        <v>170.04</v>
      </c>
      <c r="O19" s="55">
        <f>'Modèle Calcul A-R + Sommaire'!AK19</f>
        <v>210</v>
      </c>
    </row>
    <row r="20" spans="1:15" ht="20" customHeight="1" x14ac:dyDescent="0.2">
      <c r="B20" s="593"/>
      <c r="I20" s="2" t="s">
        <v>603</v>
      </c>
      <c r="J20" s="1686">
        <f>'Modèle Calcul A-R + Sommaire'!AH19</f>
        <v>33</v>
      </c>
      <c r="K20" s="5">
        <v>0</v>
      </c>
      <c r="L20" s="2235">
        <f>'Modèle Calcul A-R + Sommaire'!AL19</f>
        <v>18</v>
      </c>
      <c r="M20" s="2233">
        <f t="shared" ref="M20:M21" si="2">L20+((O20-L20)*L$6)</f>
        <v>30.5</v>
      </c>
      <c r="N20" s="2233">
        <f t="shared" ref="N20:N21" si="3">M20+((O20-L20)*M$6)</f>
        <v>49.5</v>
      </c>
      <c r="O20" s="55">
        <f>'Modèle Calcul A-R + Sommaire'!AM19</f>
        <v>68</v>
      </c>
    </row>
    <row r="21" spans="1:15" ht="20" customHeight="1" x14ac:dyDescent="0.2">
      <c r="I21" s="2" t="s">
        <v>605</v>
      </c>
      <c r="J21" s="1686">
        <f>'Modèle Calcul A-R + Sommaire'!AI19</f>
        <v>53</v>
      </c>
      <c r="K21" s="2236">
        <v>0</v>
      </c>
      <c r="L21" s="55">
        <f>'Modèle Calcul A-R + Sommaire'!AN19</f>
        <v>118</v>
      </c>
      <c r="M21" s="2233">
        <f t="shared" si="2"/>
        <v>142.5</v>
      </c>
      <c r="N21" s="2233">
        <f t="shared" si="3"/>
        <v>179.74</v>
      </c>
      <c r="O21" s="55">
        <f>'Modèle Calcul A-R + Sommaire'!AO19</f>
        <v>216</v>
      </c>
    </row>
  </sheetData>
  <mergeCells count="1">
    <mergeCell ref="B3: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21</vt:i4>
      </vt:variant>
      <vt:variant>
        <vt:lpstr>Named Ranges</vt:lpstr>
      </vt:variant>
      <vt:variant>
        <vt:i4>6</vt:i4>
      </vt:variant>
    </vt:vector>
  </HeadingPairs>
  <TitlesOfParts>
    <vt:vector size="27" baseType="lpstr">
      <vt:lpstr>Synthèse</vt:lpstr>
      <vt:lpstr>Conseils généraux</vt:lpstr>
      <vt:lpstr>Baromètre</vt:lpstr>
      <vt:lpstr>BD baromètres</vt:lpstr>
      <vt:lpstr>BIBLE</vt:lpstr>
      <vt:lpstr>Test_Bible</vt:lpstr>
      <vt:lpstr>TEST_pour PROTOTYPE</vt:lpstr>
      <vt:lpstr>Test de contenu du rapport</vt:lpstr>
      <vt:lpstr>Contexte | CSS</vt:lpstr>
      <vt:lpstr>Cpts miroirs des parents</vt:lpstr>
      <vt:lpstr>Cpts préjudiciables parents</vt:lpstr>
      <vt:lpstr>Indice D'exclusion</vt:lpstr>
      <vt:lpstr>Contribution NC</vt:lpstr>
      <vt:lpstr>Modèle Calcul A-R + Sommaire</vt:lpstr>
      <vt:lpstr>Indice VC</vt:lpstr>
      <vt:lpstr>Santé et Attitude de l'enfant</vt:lpstr>
      <vt:lpstr>Diff</vt:lpstr>
      <vt:lpstr>Analyse Catégories_CEV</vt:lpstr>
      <vt:lpstr>Cpts AR +indép + Sommaire</vt:lpstr>
      <vt:lpstr>Q_qualitatives</vt:lpstr>
      <vt:lpstr>Zone Test_Gradient</vt:lpstr>
      <vt:lpstr>Echelle_croissante</vt:lpstr>
      <vt:lpstr>Echelle_decroissante</vt:lpstr>
      <vt:lpstr>Échelle_Exp_Diff</vt:lpstr>
      <vt:lpstr>Echelle_Lineaire_Diff</vt:lpstr>
      <vt:lpstr>BIBLE!OLE_LINK12</vt:lpstr>
      <vt:lpstr>Table_Échelles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cp:lastPrinted>2022-11-12T21:56:14Z</cp:lastPrinted>
  <dcterms:created xsi:type="dcterms:W3CDTF">2021-11-14T19:44:13Z</dcterms:created>
  <dcterms:modified xsi:type="dcterms:W3CDTF">2023-06-09T15:30:52Z</dcterms:modified>
  <cp:category/>
  <cp:contentStatus/>
</cp:coreProperties>
</file>