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o\Desktop\COA Maker\"/>
    </mc:Choice>
  </mc:AlternateContent>
  <xr:revisionPtr revIDLastSave="0" documentId="13_ncr:1_{08A19CC0-1653-4B02-8252-724E2F6BC324}" xr6:coauthVersionLast="47" xr6:coauthVersionMax="47" xr10:uidLastSave="{00000000-0000-0000-0000-000000000000}"/>
  <bookViews>
    <workbookView xWindow="0" yWindow="0" windowWidth="10245" windowHeight="11520" activeTab="7" xr2:uid="{AE7F360B-CB4D-4064-AAAC-10AA0CCB06BE}"/>
  </bookViews>
  <sheets>
    <sheet name="Moisture" sheetId="1" r:id="rId1"/>
    <sheet name="Aerobic Plate Count" sheetId="3" r:id="rId2"/>
    <sheet name="Coliforms" sheetId="4" r:id="rId3"/>
    <sheet name="E. Coli Count Plate" sheetId="5" r:id="rId4"/>
    <sheet name="Yeast and Mould" sheetId="6" r:id="rId5"/>
    <sheet name="Salmonella" sheetId="7" r:id="rId6"/>
    <sheet name="Coag Positive Staph aure" sheetId="8" r:id="rId7"/>
    <sheet name="Standards" sheetId="2" r:id="rId8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8" l="1"/>
  <c r="K4" i="8"/>
  <c r="M4" i="8" s="1"/>
  <c r="L4" i="8"/>
  <c r="E2" i="8"/>
  <c r="E3" i="8"/>
  <c r="E4" i="8"/>
  <c r="G4" i="7"/>
  <c r="K4" i="7"/>
  <c r="M4" i="7" s="1"/>
  <c r="L4" i="7"/>
  <c r="E2" i="7"/>
  <c r="E3" i="7"/>
  <c r="E4" i="7"/>
  <c r="G4" i="6"/>
  <c r="K4" i="6"/>
  <c r="M4" i="6" s="1"/>
  <c r="L4" i="6"/>
  <c r="E2" i="6"/>
  <c r="E3" i="6"/>
  <c r="E4" i="6"/>
  <c r="G4" i="5"/>
  <c r="K4" i="5"/>
  <c r="M4" i="5" s="1"/>
  <c r="L4" i="5"/>
  <c r="E2" i="5"/>
  <c r="E3" i="5"/>
  <c r="E4" i="5"/>
  <c r="K4" i="4"/>
  <c r="M4" i="4" s="1"/>
  <c r="L4" i="4"/>
  <c r="E2" i="4"/>
  <c r="E3" i="4"/>
  <c r="E4" i="4"/>
  <c r="G2" i="4"/>
  <c r="G3" i="4"/>
  <c r="G4" i="4"/>
  <c r="G4" i="3"/>
  <c r="K4" i="3"/>
  <c r="L4" i="3"/>
  <c r="E2" i="3"/>
  <c r="E3" i="3"/>
  <c r="E4" i="3"/>
  <c r="E4" i="1"/>
  <c r="G4" i="1"/>
  <c r="K4" i="1"/>
  <c r="L4" i="1"/>
  <c r="M4" i="1"/>
  <c r="L2" i="8"/>
  <c r="M2" i="8" s="1"/>
  <c r="L3" i="8"/>
  <c r="K3" i="8"/>
  <c r="G3" i="8"/>
  <c r="K2" i="8"/>
  <c r="G2" i="8"/>
  <c r="L2" i="7"/>
  <c r="L3" i="7"/>
  <c r="K3" i="7"/>
  <c r="M3" i="7" s="1"/>
  <c r="G3" i="7"/>
  <c r="K2" i="7"/>
  <c r="G2" i="7"/>
  <c r="L2" i="6"/>
  <c r="L3" i="6"/>
  <c r="K3" i="6"/>
  <c r="M3" i="6" s="1"/>
  <c r="G3" i="6"/>
  <c r="K2" i="6"/>
  <c r="G2" i="6"/>
  <c r="L2" i="5"/>
  <c r="L3" i="5"/>
  <c r="K3" i="5"/>
  <c r="G3" i="5"/>
  <c r="K2" i="5"/>
  <c r="M2" i="5" s="1"/>
  <c r="G2" i="5"/>
  <c r="L2" i="4"/>
  <c r="M2" i="4" s="1"/>
  <c r="L3" i="4"/>
  <c r="M3" i="4" s="1"/>
  <c r="K3" i="4"/>
  <c r="K2" i="4"/>
  <c r="L2" i="3"/>
  <c r="L3" i="3"/>
  <c r="K3" i="3"/>
  <c r="M3" i="3" s="1"/>
  <c r="G3" i="3"/>
  <c r="K2" i="3"/>
  <c r="G2" i="3"/>
  <c r="G2" i="1"/>
  <c r="G3" i="1"/>
  <c r="E3" i="1"/>
  <c r="K3" i="1"/>
  <c r="L3" i="1"/>
  <c r="L2" i="1"/>
  <c r="K2" i="1"/>
  <c r="E2" i="1"/>
  <c r="M3" i="8"/>
  <c r="M3" i="5" l="1"/>
  <c r="M2" i="7"/>
  <c r="M2" i="6"/>
  <c r="M4" i="3"/>
  <c r="M2" i="3"/>
  <c r="M2" i="1"/>
  <c r="M3" i="1"/>
</calcChain>
</file>

<file path=xl/sharedStrings.xml><?xml version="1.0" encoding="utf-8"?>
<sst xmlns="http://schemas.openxmlformats.org/spreadsheetml/2006/main" count="318" uniqueCount="47">
  <si>
    <t>Date of Analysis</t>
  </si>
  <si>
    <t>Certificate Number</t>
  </si>
  <si>
    <t>Manufacturing Date</t>
  </si>
  <si>
    <t>Product Name</t>
  </si>
  <si>
    <t>Product Code</t>
  </si>
  <si>
    <t>Batch Number</t>
  </si>
  <si>
    <t>Expiry Date</t>
  </si>
  <si>
    <t>Trial 1</t>
  </si>
  <si>
    <t>Trial 2</t>
  </si>
  <si>
    <t>Trial 3</t>
  </si>
  <si>
    <t>Result</t>
  </si>
  <si>
    <t>Maximum Value</t>
  </si>
  <si>
    <t>Remarks</t>
  </si>
  <si>
    <t>Coconut Flavor Paste</t>
  </si>
  <si>
    <t>Lemon Flavor Paste</t>
  </si>
  <si>
    <t>Cayenne Pepper Powder</t>
  </si>
  <si>
    <t>Garlic Powder</t>
  </si>
  <si>
    <t>Turmeric Powder</t>
  </si>
  <si>
    <t>Shelf life (Months)</t>
  </si>
  <si>
    <t>4/A4010</t>
  </si>
  <si>
    <t>4/A5010</t>
  </si>
  <si>
    <t xml:space="preserve">Onion Powder </t>
  </si>
  <si>
    <t>1/B1000</t>
  </si>
  <si>
    <t>1/B2000</t>
  </si>
  <si>
    <t>1/B3000</t>
  </si>
  <si>
    <t>Oyster Flavor Paste</t>
  </si>
  <si>
    <t>4/A6010</t>
  </si>
  <si>
    <t>1/B4000</t>
  </si>
  <si>
    <t>Parameter</t>
  </si>
  <si>
    <t>Moisture (%m/m)</t>
  </si>
  <si>
    <t>Standard</t>
  </si>
  <si>
    <t>Maximum</t>
  </si>
  <si>
    <t>&lt; 5%</t>
  </si>
  <si>
    <t>&lt; 10%</t>
  </si>
  <si>
    <t>&lt; 1.5%</t>
  </si>
  <si>
    <t>&lt; 8%</t>
  </si>
  <si>
    <t>Aerobic Plate Count(cfu/g)</t>
  </si>
  <si>
    <t>&lt; 10000</t>
  </si>
  <si>
    <t>&lt; 5000</t>
  </si>
  <si>
    <t>&lt; 8000</t>
  </si>
  <si>
    <t>Coliforms (cfu/g)</t>
  </si>
  <si>
    <t>zero</t>
  </si>
  <si>
    <t>E. Coli Count Plate (cfu/g)</t>
  </si>
  <si>
    <t>Yeast and Mould (cfu/g)</t>
  </si>
  <si>
    <t>&lt; 1</t>
  </si>
  <si>
    <t>Salmonella (/250g)</t>
  </si>
  <si>
    <t>Coag Positive Staph aure (cfu/g)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</si>
</sst>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3409]dd\-mmm\-yy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3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4" fontId="0" fillId="0" borderId="0" xfId="0" applyNumberFormat="1"/>
  </cellXfs>
  <cellStyles count="1">
    <cellStyle name="Normal" xfId="0" builtinId="0"/>
  </cellStyles>
  <dxfs count="134">
    <dxf>
      <fill>
        <patternFill>
          <bgColor rgb="FFFFC7CE"/>
        </patternFill>
      </fill>
    </dxf>
    <dxf>
      <font>
        <color theme="1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theme="1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theme="1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theme="1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theme="1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theme="1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theme="1"/>
      </font>
      <fill>
        <patternFill>
          <bgColor rgb="FFC6EFCE"/>
        </patternFill>
      </fill>
    </dxf>
    <dxf>
      <numFmt numFmtId="3" formatCode="#,##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" formatCode="#,##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" formatCode="#,##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" formatCode="#,##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" formatCode="#,##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" formatCode="#,##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164" formatCode="[$-3409]dd\-mmm\-yyyy;@"/>
    </dxf>
    <dxf>
      <numFmt numFmtId="0" formatCode="General"/>
    </dxf>
    <dxf>
      <numFmt numFmtId="164" formatCode="[$-3409]dd\-mmm\-yyyy;@"/>
    </dxf>
    <dxf>
      <numFmt numFmtId="164" formatCode="[$-3409]dd\-mmm\-yyyy;@"/>
    </dxf>
    <dxf>
      <numFmt numFmtId="0" formatCode="General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164" formatCode="[$-3409]dd\-mmm\-yyyy;@"/>
    </dxf>
    <dxf>
      <numFmt numFmtId="0" formatCode="General"/>
    </dxf>
    <dxf>
      <numFmt numFmtId="164" formatCode="[$-3409]dd\-mmm\-yyyy;@"/>
    </dxf>
    <dxf>
      <numFmt numFmtId="164" formatCode="[$-3409]dd\-mmm\-yyyy;@"/>
    </dxf>
    <dxf>
      <numFmt numFmtId="0" formatCode="General"/>
    </dxf>
    <dxf>
      <numFmt numFmtId="3" formatCode="#,##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164" formatCode="[$-3409]dd\-mmm\-yyyy;@"/>
    </dxf>
    <dxf>
      <numFmt numFmtId="0" formatCode="General"/>
    </dxf>
    <dxf>
      <numFmt numFmtId="164" formatCode="[$-3409]dd\-mmm\-yyyy;@"/>
    </dxf>
    <dxf>
      <numFmt numFmtId="164" formatCode="[$-3409]dd\-mmm\-yyyy;@"/>
    </dxf>
    <dxf>
      <numFmt numFmtId="0" formatCode="General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164" formatCode="[$-3409]dd\-mmm\-yyyy;@"/>
    </dxf>
    <dxf>
      <numFmt numFmtId="0" formatCode="General"/>
    </dxf>
    <dxf>
      <numFmt numFmtId="164" formatCode="[$-3409]dd\-mmm\-yyyy;@"/>
    </dxf>
    <dxf>
      <numFmt numFmtId="164" formatCode="[$-3409]dd\-mmm\-yyyy;@"/>
    </dxf>
    <dxf>
      <numFmt numFmtId="0" formatCode="General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164" formatCode="[$-3409]dd\-mmm\-yyyy;@"/>
    </dxf>
    <dxf>
      <numFmt numFmtId="0" formatCode="General"/>
    </dxf>
    <dxf>
      <numFmt numFmtId="164" formatCode="[$-3409]dd\-mmm\-yyyy;@"/>
    </dxf>
    <dxf>
      <numFmt numFmtId="164" formatCode="[$-3409]dd\-mmm\-yyyy;@"/>
    </dxf>
    <dxf>
      <numFmt numFmtId="0" formatCode="General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164" formatCode="[$-3409]dd\-mmm\-yyyy;@"/>
    </dxf>
    <dxf>
      <numFmt numFmtId="0" formatCode="General"/>
    </dxf>
    <dxf>
      <numFmt numFmtId="164" formatCode="[$-3409]dd\-mmm\-yyyy;@"/>
    </dxf>
    <dxf>
      <numFmt numFmtId="164" formatCode="[$-3409]dd\-mmm\-yyyy;@"/>
    </dxf>
    <dxf>
      <numFmt numFmtId="0" formatCode="General"/>
    </dxf>
    <dxf>
      <numFmt numFmtId="0" formatCode="General"/>
    </dxf>
    <dxf>
      <numFmt numFmtId="4" formatCode="#,##0.00"/>
    </dxf>
    <dxf>
      <numFmt numFmtId="164" formatCode="[$-3409]dd\-mmm\-yyyy;@"/>
    </dxf>
    <dxf>
      <numFmt numFmtId="164" formatCode="[$-3409]dd\-mmm\-yyyy;@"/>
    </dxf>
    <dxf>
      <numFmt numFmtId="164" formatCode="[$-3409]dd\-mmm\-yyyy;@"/>
    </dxf>
    <dxf>
      <fill>
        <patternFill patternType="solid">
          <fgColor theme="0" tint="-0.14996795556505021"/>
          <bgColor theme="0" tint="-4.9989318521683403E-2"/>
        </patternFill>
      </fill>
    </dxf>
    <dxf>
      <fill>
        <patternFill>
          <fgColor theme="0"/>
          <bgColor theme="0"/>
        </patternFill>
      </fill>
    </dxf>
    <dxf>
      <fill>
        <patternFill>
          <bgColor theme="0" tint="-0.14996795556505021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1"/>
        </top>
      </border>
    </dxf>
    <dxf>
      <font>
        <b/>
        <color theme="0"/>
      </font>
      <fill>
        <patternFill patternType="solid">
          <fgColor theme="1"/>
          <bgColor theme="1"/>
        </patternFill>
      </fill>
    </dxf>
  </dxfs>
  <tableStyles count="1" defaultTableStyle="TableStyleMedium2" defaultPivotStyle="PivotStyleLight16">
    <tableStyle name="MyTable" pivot="0" count="7" xr9:uid="{7A3E9A62-69E0-44D7-B037-C9BA7ABB2CF5}">
      <tableStyleElement type="headerRow" dxfId="133"/>
      <tableStyleElement type="totalRow" dxfId="132"/>
      <tableStyleElement type="firstColumn" dxfId="131"/>
      <tableStyleElement type="lastColumn" dxfId="130"/>
      <tableStyleElement type="firstRowStripe" dxfId="129"/>
      <tableStyleElement type="secondRowStripe" dxfId="128"/>
      <tableStyleElement type="firstColumnStripe" dxfId="12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365FF3D-DC50-4B5D-8E48-1B0A8F4A829A}" name="MoistureT" displayName="MoistureT" ref="A1:M4" totalsRowShown="0">
  <tableColumns count="13">
    <tableColumn id="1" xr3:uid="{96BD46B7-B11B-4005-9280-A7CD0B85345A}" name="Date of Analysis" dataDxfId="126"/>
    <tableColumn id="2" xr3:uid="{CE6C7A4C-1253-4FAF-AAFC-3601F071D4F1}" name="Certificate Number"/>
    <tableColumn id="3" xr3:uid="{5470EAB3-CBDC-4830-9FED-F7827168D4A1}" name="Manufacturing Date" dataDxfId="125"/>
    <tableColumn id="4" xr3:uid="{37E24D9A-591D-47D9-A187-73330255BEB8}" name="Product Name"/>
    <tableColumn id="5" xr3:uid="{5535DF8D-0131-4934-A6C8-54093DA0157F}" name="Product Code">
      <calculatedColumnFormula>VLOOKUP(MoistureT[[#This Row],[Product Name]], StdMoisture[#All], 2, FALSE)</calculatedColumnFormula>
    </tableColumn>
    <tableColumn id="6" xr3:uid="{8952C4A1-CF3E-4141-9AB3-2057621D8F46}" name="Batch Number"/>
    <tableColumn id="7" xr3:uid="{0B2898F3-2681-433D-BEF4-882C56E91FBC}" name="Expiry Date" dataDxfId="124">
      <calculatedColumnFormula>EDATE(MoistureT[[#This Row],[Manufacturing Date]],VLOOKUP(MoistureT[[#This Row],[Product Name]],ProdNameCode[#All],3,FALSE))</calculatedColumnFormula>
    </tableColumn>
    <tableColumn id="8" xr3:uid="{5091DFF4-9576-4458-93C1-8CFF01876550}" name="Trial 1"/>
    <tableColumn id="9" xr3:uid="{A4AA716E-DD6C-468E-A5AC-1AB4B3BB286F}" name="Trial 2"/>
    <tableColumn id="10" xr3:uid="{9E4BE47E-423B-4718-A467-5CD05F3B214F}" name="Trial 3"/>
    <tableColumn id="11" xr3:uid="{E79EB72B-5A81-40AB-BB09-FBE070C3C2AF}" name="Result" dataDxfId="123">
      <calculatedColumnFormula>IFERROR(AVERAGE(MoistureT[[#This Row],[Trial 1]:[Trial 3]]), "Enter valid result")</calculatedColumnFormula>
    </tableColumn>
    <tableColumn id="12" xr3:uid="{64DEBF88-9464-4033-9BB4-54B65CDA1F0D}" name="Maximum Value" dataDxfId="122">
      <calculatedColumnFormula>VLOOKUP(MoistureT[[#This Row],[Product Name]], StdMoisture[#All], 4, FALSE)</calculatedColumnFormula>
    </tableColumn>
    <tableColumn id="13" xr3:uid="{638926B5-A193-4CE4-82B7-82D6A3231026}" name="Remarks" dataDxfId="121">
      <calculatedColumnFormula>IF(MoistureT[[#This Row],[Result]]&lt;MoistureT[[#This Row],[Maximum Value]], "Conforms", "Did Not Conform")</calculatedColumnFormula>
    </tableColumn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0FC5A6F-90F5-4F0C-95DC-352A6D9929BE}" name="StdAerobicCount" displayName="StdAerobicCount" ref="B22:E29" totalsRowShown="0" headerRowDxfId="49" dataDxfId="48">
  <tableColumns count="4">
    <tableColumn id="1" xr3:uid="{FA4EEDB0-6F6D-4533-AF10-6E0C55DE96F1}" name="Product Name" dataDxfId="47"/>
    <tableColumn id="2" xr3:uid="{58A1FD0B-8857-4734-8AC0-72697A4E09C5}" name="Product Code" dataDxfId="46"/>
    <tableColumn id="3" xr3:uid="{E8DAD21E-D5C3-405E-B528-5A0A10C40477}" name="Standard" dataDxfId="45"/>
    <tableColumn id="4" xr3:uid="{F8ABA026-6313-4694-864F-FA3A801D7D5B}" name="Maximum" dataDxfId="44"/>
  </tableColumns>
  <tableStyleInfo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3D28A9B-E9B4-4EB4-A736-31487AFB9FDE}" name="StdColiforms" displayName="StdColiforms" ref="B33:E40" totalsRowShown="0" headerRowDxfId="43" dataDxfId="42">
  <tableColumns count="4">
    <tableColumn id="1" xr3:uid="{9B7F5A99-B490-455E-A577-BED3BAC47DED}" name="Product Name" dataDxfId="41"/>
    <tableColumn id="2" xr3:uid="{7C722FA8-A126-400C-BC76-956796522BAE}" name="Product Code" dataDxfId="40"/>
    <tableColumn id="3" xr3:uid="{6E26E74C-4412-4915-BE12-4FD5C69DFDAA}" name="Standard" dataDxfId="39"/>
    <tableColumn id="4" xr3:uid="{554B85D9-9032-43AA-B17D-047F514F6DB4}" name="Maximum" dataDxfId="38"/>
  </tableColumns>
  <tableStyleInfo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D255193-25FF-44A8-9DAD-91521C0B2626}" name="StdEColiCountPlate" displayName="StdEColiCountPlate" ref="B44:E51" totalsRowShown="0" headerRowDxfId="37" dataDxfId="36">
  <tableColumns count="4">
    <tableColumn id="1" xr3:uid="{C694E724-2086-4517-976D-D928C9BFA33D}" name="Product Name" dataDxfId="35"/>
    <tableColumn id="2" xr3:uid="{2A01A10A-C23B-41D5-9A04-EBC643A295C5}" name="Product Code" dataDxfId="34"/>
    <tableColumn id="3" xr3:uid="{8CF5C77A-F1F0-4CB7-8BA2-9505EE6E65E4}" name="Standard" dataDxfId="33"/>
    <tableColumn id="4" xr3:uid="{97ABF705-5208-4D16-9A9D-37161B4AD9F0}" name="Maximum" dataDxfId="32"/>
  </tableColumns>
  <tableStyleInfo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7F38D7C-E442-45D9-A895-13541CA5351D}" name="StdYeastMould" displayName="StdYeastMould" ref="B55:E62" totalsRowShown="0" headerRowDxfId="31" dataDxfId="30">
  <tableColumns count="4">
    <tableColumn id="1" xr3:uid="{FF30171D-7F32-4AD1-AC5D-E6E48404A122}" name="Product Name" dataDxfId="29"/>
    <tableColumn id="2" xr3:uid="{FB77C0D6-F8D8-4B0D-BC96-B5DBEED33067}" name="Product Code" dataDxfId="28"/>
    <tableColumn id="3" xr3:uid="{0B9AA774-8E04-4078-814F-B4220A10C255}" name="Standard" dataDxfId="27"/>
    <tableColumn id="4" xr3:uid="{DC139B45-AAC0-48DC-9EB3-12EBCF40E680}" name="Maximum" dataDxfId="26"/>
  </tableColumns>
  <tableStyleInfo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C946D8F4-9FC0-4EA9-AB01-E8DCD897C1F9}" name="StdSalmonella" displayName="StdSalmonella" ref="B66:E73" totalsRowShown="0" headerRowDxfId="25" dataDxfId="24">
  <tableColumns count="4">
    <tableColumn id="1" xr3:uid="{3B2C9A7E-AEC7-4200-9816-FBD276D56BBB}" name="Product Name" dataDxfId="23"/>
    <tableColumn id="2" xr3:uid="{A1C92FA2-53F0-4769-82EF-94546DE69567}" name="Product Code" dataDxfId="22"/>
    <tableColumn id="3" xr3:uid="{ED4C12CD-274D-444F-94D7-D8394BBB8592}" name="Standard" dataDxfId="21"/>
    <tableColumn id="4" xr3:uid="{948EDDB8-4E30-44D7-AB1B-1843240B00F5}" name="Maximum" dataDxfId="20"/>
  </tableColumns>
  <tableStyleInfo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95031A9-EA5E-42A6-BC68-3BE257FDAB81}" name="StdCoagStaph" displayName="StdCoagStaph" ref="B77:E84" totalsRowShown="0" headerRowDxfId="19" dataDxfId="18">
  <tableColumns count="4">
    <tableColumn id="1" xr3:uid="{39B4CE47-E008-465B-B775-637856761D0B}" name="Product Name" dataDxfId="17"/>
    <tableColumn id="2" xr3:uid="{4E7DA4B1-FBF5-4DEF-99CB-73BFAFB03DE2}" name="Product Code" dataDxfId="16"/>
    <tableColumn id="3" xr3:uid="{C812FF0E-7CF3-47D4-930C-702579390FB1}" name="Standard" dataDxfId="15"/>
    <tableColumn id="4" xr3:uid="{1828C0D8-9EC9-4D90-AA77-147E4380D0D9}" name="Maximum" dataDxfId="14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164D85BC-5172-4220-A169-7C5F50CC6B3C}" name="AerobicPlateCountT" displayName="AerobicPlateCountT" ref="A1:M4" totalsRowShown="0">
  <tableColumns count="13">
    <tableColumn id="1" xr3:uid="{34359E5B-DECB-4D69-87E2-0901EF7001A8}" name="Date of Analysis" dataDxfId="120"/>
    <tableColumn id="2" xr3:uid="{99F442F3-C050-44E8-A85D-C9198022011E}" name="Certificate Number"/>
    <tableColumn id="3" xr3:uid="{56A8FFC4-51BD-4CB8-AE3B-743BF19F2837}" name="Manufacturing Date" dataDxfId="119"/>
    <tableColumn id="4" xr3:uid="{CFACEBCB-DCB4-4ECE-AE8F-5FBAEF978445}" name="Product Name"/>
    <tableColumn id="5" xr3:uid="{AAD8F902-23E7-41B9-80CF-A82C32C82184}" name="Product Code" dataDxfId="118">
      <calculatedColumnFormula>VLOOKUP(MoistureT[[#This Row],[Product Name]], StdMoisture[#All], 2, FALSE)</calculatedColumnFormula>
    </tableColumn>
    <tableColumn id="6" xr3:uid="{5E297299-C863-49CC-B413-01E810C32C22}" name="Batch Number"/>
    <tableColumn id="7" xr3:uid="{A4EBD57B-AD38-49C4-83E0-976FE5D76D9C}" name="Expiry Date" dataDxfId="117">
      <calculatedColumnFormula>EDATE(AerobicPlateCountT[[#This Row],[Manufacturing Date]],VLOOKUP(AerobicPlateCountT[[#This Row],[Product Name]],ProdNameCode[#All],3,FALSE))</calculatedColumnFormula>
    </tableColumn>
    <tableColumn id="8" xr3:uid="{FA4EBD7B-60FA-4242-B869-0192A25C28DB}" name="Trial 1" dataDxfId="116"/>
    <tableColumn id="9" xr3:uid="{2D857474-8481-4F4C-A946-65AD661EC563}" name="Trial 2" dataDxfId="115"/>
    <tableColumn id="10" xr3:uid="{473D6C2E-A056-4256-9B92-1014C4875B97}" name="Trial 3" dataDxfId="114"/>
    <tableColumn id="11" xr3:uid="{7CB94868-9762-4669-BF9E-F0DC0231001F}" name="Result" dataDxfId="113">
      <calculatedColumnFormula>IFERROR(AVERAGE(AerobicPlateCountT[[#This Row],[Trial 1]:[Trial 3]]), "Enter valid result")</calculatedColumnFormula>
    </tableColumn>
    <tableColumn id="12" xr3:uid="{68D28DD0-B9F2-46BA-B58D-52E616D46FB1}" name="Maximum Value" dataDxfId="112">
      <calculatedColumnFormula>VLOOKUP(AerobicPlateCountT[[#This Row],[Product Name]], StdAerobicCount[#All], 4,FALSE)</calculatedColumnFormula>
    </tableColumn>
    <tableColumn id="13" xr3:uid="{2DB8EB8B-DE8A-43DE-B4C0-11CD5A550EBA}" name="Remarks" dataDxfId="111">
      <calculatedColumnFormula>IF(AerobicPlateCountT[[#This Row],[Result]]&lt;AerobicPlateCountT[[#This Row],[Maximum Value]], "Conforms", "Did Not Conform")</calculatedColumnFormula>
    </tableColumn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737BE4E-349E-4B32-B0DA-6B57FD557F76}" name="ColiformsT" displayName="ColiformsT" ref="A1:M4" totalsRowShown="0">
  <tableColumns count="13">
    <tableColumn id="1" xr3:uid="{C79BDFD9-D88B-4B5F-BED3-19D75E238F0C}" name="Date of Analysis" dataDxfId="110"/>
    <tableColumn id="2" xr3:uid="{B4277AC8-AF2C-4314-9E32-EEF78D3C01C7}" name="Certificate Number"/>
    <tableColumn id="3" xr3:uid="{33646093-3640-42E5-8438-3818F098DD66}" name="Manufacturing Date" dataDxfId="109"/>
    <tableColumn id="4" xr3:uid="{F0BCE8E9-66F9-440B-A336-7203CAE1560B}" name="Product Name"/>
    <tableColumn id="5" xr3:uid="{68B6C8F5-CEF0-45DB-86CB-AB8CAE548F00}" name="Product Code" dataDxfId="108">
      <calculatedColumnFormula>VLOOKUP(MoistureT[[#This Row],[Product Name]], StdMoisture[#All], 2, FALSE)</calculatedColumnFormula>
    </tableColumn>
    <tableColumn id="6" xr3:uid="{5CF2AFC7-2CD3-44A4-A4ED-45FD672255BD}" name="Batch Number"/>
    <tableColumn id="7" xr3:uid="{1ACB797C-EEC4-4EF1-B2C0-1D6DBC3E3074}" name="Expiry Date" dataDxfId="107">
      <calculatedColumnFormula>EDATE(MoistureT[[#This Row],[Manufacturing Date]],VLOOKUP(MoistureT[[#This Row],[Product Name]],ProdNameCode[#All],3,FALSE))</calculatedColumnFormula>
    </tableColumn>
    <tableColumn id="8" xr3:uid="{B6A3347F-5FE0-4134-B96C-E72BEBF7C897}" name="Trial 1" dataDxfId="106"/>
    <tableColumn id="9" xr3:uid="{1BF135D0-AA27-4381-902F-4959A27B0E65}" name="Trial 2" dataDxfId="105"/>
    <tableColumn id="10" xr3:uid="{AD572504-D59A-4BCC-A73B-31F90D3B8DD3}" name="Trial 3" dataDxfId="104"/>
    <tableColumn id="11" xr3:uid="{CED9AB7F-4CCE-490B-AE06-433D158BA49F}" name="Result" dataDxfId="103">
      <calculatedColumnFormula>IFERROR(AVERAGE(ColiformsT[[#This Row],[Trial 1]:[Trial 3]]), "Enter valid result")</calculatedColumnFormula>
    </tableColumn>
    <tableColumn id="12" xr3:uid="{39F083D8-9A28-42BD-83F8-F8B383003FBA}" name="Maximum Value" dataDxfId="102">
      <calculatedColumnFormula>VLOOKUP(ColiformsT[[#This Row],[Product Name]],StdColiforms[#All], 4,FALSE)</calculatedColumnFormula>
    </tableColumn>
    <tableColumn id="13" xr3:uid="{2E1AA446-A9F6-4D5E-A012-74B3142C0B1D}" name="Remarks" dataDxfId="101">
      <calculatedColumnFormula>IF(ColiformsT[[#This Row],[Result]]&lt;=ColiformsT[[#This Row],[Maximum Value]], "Conforms", "Did Not Conform")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9BD9A6BD-98CC-438A-BA0C-3C7A3BDA14D5}" name="EColiCountT" displayName="EColiCountT" ref="A1:M4" totalsRowShown="0">
  <tableColumns count="13">
    <tableColumn id="1" xr3:uid="{3D760C3E-AF49-4D22-AFB9-743306E91C9F}" name="Date of Analysis" dataDxfId="100"/>
    <tableColumn id="2" xr3:uid="{5B1D5FBC-E1B8-40CA-95DE-F9FD77849C4B}" name="Certificate Number"/>
    <tableColumn id="3" xr3:uid="{51D55BCE-8D55-40DD-A412-C3EC59CAD710}" name="Manufacturing Date" dataDxfId="99"/>
    <tableColumn id="4" xr3:uid="{AF15C5A8-06DB-46F1-9953-F4A10BB2252A}" name="Product Name"/>
    <tableColumn id="5" xr3:uid="{685C4D35-F51E-4C71-B916-122BCEC32604}" name="Product Code" dataDxfId="98">
      <calculatedColumnFormula>VLOOKUP(MoistureT[[#This Row],[Product Name]], StdMoisture[#All], 2, FALSE)</calculatedColumnFormula>
    </tableColumn>
    <tableColumn id="6" xr3:uid="{6A948AF7-5861-4348-9E84-E4BF47A1F9D2}" name="Batch Number"/>
    <tableColumn id="7" xr3:uid="{ACF595F6-B8C3-4B91-8F28-54CB81E47726}" name="Expiry Date" dataDxfId="97">
      <calculatedColumnFormula>EDATE(EColiCountT[[#This Row],[Manufacturing Date]],VLOOKUP(EColiCountT[[#This Row],[Product Name]],ProdNameCode[#All],3,FALSE))</calculatedColumnFormula>
    </tableColumn>
    <tableColumn id="8" xr3:uid="{14DE7443-C5D4-4618-868D-FCA1B9F15B2C}" name="Trial 1" dataDxfId="96"/>
    <tableColumn id="9" xr3:uid="{F244CC91-0D55-400D-83B6-8C1D8798A16E}" name="Trial 2" dataDxfId="95"/>
    <tableColumn id="10" xr3:uid="{76A9A7DF-F840-4A68-B915-BFFE7D3A2383}" name="Trial 3" dataDxfId="94"/>
    <tableColumn id="11" xr3:uid="{DD1374EB-4856-4669-AD84-3EE50120E83E}" name="Result" dataDxfId="93">
      <calculatedColumnFormula>IFERROR(AVERAGE(EColiCountT[[#This Row],[Trial 1]:[Trial 3]]), "Enter valid result")</calculatedColumnFormula>
    </tableColumn>
    <tableColumn id="12" xr3:uid="{14F949A2-3880-46C8-B0CF-F7BF84F32701}" name="Maximum Value" dataDxfId="92">
      <calculatedColumnFormula>VLOOKUP(EColiCountT[[#This Row],[Product Name]],StdEColiCountPlate[#All], 4,FALSE)</calculatedColumnFormula>
    </tableColumn>
    <tableColumn id="13" xr3:uid="{04AA1818-C8FB-44D1-BA7B-7F3D1FAA0559}" name="Remarks" dataDxfId="91">
      <calculatedColumnFormula>IF(EColiCountT[[#This Row],[Result]]&lt;=EColiCountT[[#This Row],[Maximum Value]], "Conforms", "Did Not Conform")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F1FEC03E-B104-4FDA-A044-4168E5B7C766}" name="EColiCountT14" displayName="EColiCountT14" ref="A1:M4" totalsRowShown="0">
  <tableColumns count="13">
    <tableColumn id="1" xr3:uid="{8DBEB48D-40F1-4860-8269-8479B30E8116}" name="Date of Analysis" dataDxfId="90"/>
    <tableColumn id="2" xr3:uid="{5EB8B55C-2C72-4FD5-8999-1A542C0FCDB0}" name="Certificate Number"/>
    <tableColumn id="3" xr3:uid="{F1D3DD61-F9FC-46C4-9007-A8CF040FB582}" name="Manufacturing Date" dataDxfId="89"/>
    <tableColumn id="4" xr3:uid="{4367D089-A1AC-4F21-9B13-04579AEAC3E9}" name="Product Name"/>
    <tableColumn id="5" xr3:uid="{8231AFD8-4BE7-4AA3-8553-C6F460BC4EC4}" name="Product Code" dataDxfId="88">
      <calculatedColumnFormula>VLOOKUP(MoistureT[[#This Row],[Product Name]], StdMoisture[#All], 2, FALSE)</calculatedColumnFormula>
    </tableColumn>
    <tableColumn id="6" xr3:uid="{FAF9248B-F88A-4493-ADD7-8F3AF5F12AF4}" name="Batch Number"/>
    <tableColumn id="7" xr3:uid="{9753B825-DB89-46A3-8B18-A29A51C75AAC}" name="Expiry Date" dataDxfId="87">
      <calculatedColumnFormula>EDATE(EColiCountT14[[#This Row],[Manufacturing Date]],VLOOKUP(EColiCountT14[[#This Row],[Product Name]],ProdNameCode[#All],3,FALSE))</calculatedColumnFormula>
    </tableColumn>
    <tableColumn id="8" xr3:uid="{C4961B82-EA51-4B19-83C9-AC308F2D7822}" name="Trial 1" dataDxfId="86"/>
    <tableColumn id="9" xr3:uid="{50CF4FA7-5590-4CF3-A8DB-AA652F7907C2}" name="Trial 2" dataDxfId="85"/>
    <tableColumn id="10" xr3:uid="{A3185C92-EA81-4212-ABD2-31DA6DADFCD7}" name="Trial 3" dataDxfId="84"/>
    <tableColumn id="11" xr3:uid="{FD8543CD-B5E4-46C1-8E9A-89FCA35466E3}" name="Result" dataDxfId="83">
      <calculatedColumnFormula>IFERROR(AVERAGE(EColiCountT14[[#This Row],[Trial 1]:[Trial 3]]), "Enter valid result")</calculatedColumnFormula>
    </tableColumn>
    <tableColumn id="12" xr3:uid="{6A10B49B-4C2A-4E2A-8CA9-5CA4E7EF74C1}" name="Maximum Value" dataDxfId="82">
      <calculatedColumnFormula>VLOOKUP(EColiCountT14[[#This Row],[Product Name]],StdYeastMould[#All], 4,FALSE)</calculatedColumnFormula>
    </tableColumn>
    <tableColumn id="13" xr3:uid="{04908C35-5B6B-4A62-9D4D-7EF532C1BF4F}" name="Remarks" dataDxfId="81">
      <calculatedColumnFormula>IF(EColiCountT14[[#This Row],[Result]]&lt;=EColiCountT14[[#This Row],[Maximum Value]], "Conforms", "Did Not Conform")</calculatedColumnFormula>
    </tableColumn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73327431-4913-495A-9AB8-22019628DAB7}" name="EColiCountT15" displayName="EColiCountT15" ref="A1:M4" totalsRowShown="0">
  <tableColumns count="13">
    <tableColumn id="1" xr3:uid="{F5BF259D-B110-4265-BEE4-CABC803AB6AC}" name="Date of Analysis" dataDxfId="80"/>
    <tableColumn id="2" xr3:uid="{4615B294-9B02-4902-AECB-2A08656B18BB}" name="Certificate Number"/>
    <tableColumn id="3" xr3:uid="{18B88B16-19C8-4CD5-ABC2-365F350B65E6}" name="Manufacturing Date" dataDxfId="79"/>
    <tableColumn id="4" xr3:uid="{F01D5418-2F57-41BB-BE98-6D4C80445244}" name="Product Name"/>
    <tableColumn id="5" xr3:uid="{73A1959D-63A7-43FA-AB9A-F67B27442AD1}" name="Product Code" dataDxfId="78">
      <calculatedColumnFormula>VLOOKUP(MoistureT[[#This Row],[Product Name]], StdMoisture[#All], 2, FALSE)</calculatedColumnFormula>
    </tableColumn>
    <tableColumn id="6" xr3:uid="{1F8BBB4B-7E5D-495B-9419-6D0E5DFC8536}" name="Batch Number"/>
    <tableColumn id="7" xr3:uid="{D7ECF31D-9357-4188-9973-E806DB1C4F71}" name="Expiry Date" dataDxfId="77">
      <calculatedColumnFormula>EDATE(EColiCountT15[[#This Row],[Manufacturing Date]],VLOOKUP(EColiCountT15[[#This Row],[Product Name]],ProdNameCode[#All],3,FALSE))</calculatedColumnFormula>
    </tableColumn>
    <tableColumn id="8" xr3:uid="{F0D0DF3D-6C2C-4150-A174-E6FBE61BA487}" name="Trial 1" dataDxfId="76"/>
    <tableColumn id="9" xr3:uid="{601BD98F-486D-4768-A5AF-9C7CDF027447}" name="Trial 2" dataDxfId="75"/>
    <tableColumn id="10" xr3:uid="{C926BCD2-1D37-4052-801D-4FDACDE2A811}" name="Trial 3" dataDxfId="74"/>
    <tableColumn id="11" xr3:uid="{86087985-048C-415E-A8AB-0CBF2683F646}" name="Result" dataDxfId="73">
      <calculatedColumnFormula>IFERROR(AVERAGE(EColiCountT15[[#This Row],[Trial 1]:[Trial 3]]), "Enter valid result")</calculatedColumnFormula>
    </tableColumn>
    <tableColumn id="12" xr3:uid="{575B27FB-4101-4752-91B4-41380710C4E7}" name="Maximum Value" dataDxfId="72">
      <calculatedColumnFormula>VLOOKUP(EColiCountT15[[#This Row],[Product Name]],StdSalmonella[#All], 4,FALSE)</calculatedColumnFormula>
    </tableColumn>
    <tableColumn id="13" xr3:uid="{E8395060-A56D-478F-A473-48A19F7BD8A5}" name="Remarks" dataDxfId="71">
      <calculatedColumnFormula>IF(EColiCountT15[[#This Row],[Result]]&lt;=EColiCountT15[[#This Row],[Maximum Value]], "Conforms", "Did Not Conform")</calculatedColumnFormula>
    </tableColumn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8C5B1645-795D-416F-AD7F-A75772B1EDC2}" name="EColiCountT1516" displayName="EColiCountT1516" ref="A1:M4" totalsRowShown="0">
  <tableColumns count="13">
    <tableColumn id="1" xr3:uid="{AE3D52AE-FD8F-477C-94E5-8C2CAB134987}" name="Date of Analysis" dataDxfId="70"/>
    <tableColumn id="2" xr3:uid="{02CDD6D2-A538-47A4-AF9E-144703557D55}" name="Certificate Number"/>
    <tableColumn id="3" xr3:uid="{FF272E13-C2E3-475C-834E-AB64935FE690}" name="Manufacturing Date" dataDxfId="69"/>
    <tableColumn id="4" xr3:uid="{B6F7FC85-6474-46E0-84E6-D65F19DF75CE}" name="Product Name"/>
    <tableColumn id="5" xr3:uid="{1DCF3AF6-07B8-4C20-9B3B-987E7AFE998B}" name="Product Code" dataDxfId="68">
      <calculatedColumnFormula>VLOOKUP(MoistureT[[#This Row],[Product Name]], StdMoisture[#All], 2, FALSE)</calculatedColumnFormula>
    </tableColumn>
    <tableColumn id="6" xr3:uid="{D738A96E-E6FE-460E-B976-0FABFC52EE80}" name="Batch Number"/>
    <tableColumn id="7" xr3:uid="{4CDEE197-ED0F-487B-8608-B4EF9C8A6034}" name="Expiry Date" dataDxfId="67">
      <calculatedColumnFormula>EDATE(EColiCountT1516[[#This Row],[Manufacturing Date]],VLOOKUP(EColiCountT1516[[#This Row],[Product Name]],ProdNameCode[#All],3,FALSE))</calculatedColumnFormula>
    </tableColumn>
    <tableColumn id="8" xr3:uid="{01A3ECB0-305B-44FF-8DDD-C023C3CCE073}" name="Trial 1" dataDxfId="66"/>
    <tableColumn id="9" xr3:uid="{3B3F0B3A-DA75-4220-8F0D-776F13E552B1}" name="Trial 2" dataDxfId="65"/>
    <tableColumn id="10" xr3:uid="{A5F24080-7D01-4E6F-8781-6C800D024634}" name="Trial 3" dataDxfId="64"/>
    <tableColumn id="11" xr3:uid="{176764E3-E3B7-4BCF-BDE5-403B5EFA1954}" name="Result" dataDxfId="63">
      <calculatedColumnFormula>IFERROR(AVERAGE(EColiCountT1516[[#This Row],[Trial 1]:[Trial 3]]), "Enter valid result")</calculatedColumnFormula>
    </tableColumn>
    <tableColumn id="12" xr3:uid="{A2E1B41B-3BD0-4380-A99A-C4999A557FEF}" name="Maximum Value" dataDxfId="62">
      <calculatedColumnFormula>VLOOKUP(EColiCountT1516[[#This Row],[Product Name]],StdCoagStaph[#All], 4,FALSE)</calculatedColumnFormula>
    </tableColumn>
    <tableColumn id="13" xr3:uid="{E5A448F2-0EEB-4B61-8D58-A4B811BC9B83}" name="Remarks" dataDxfId="61">
      <calculatedColumnFormula>IF(EColiCountT1516[[#This Row],[Result]]&lt;=EColiCountT1516[[#This Row],[Maximum Value]], "Conforms", "Did Not Conform")</calculatedColumnFormula>
    </tableColumn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E1C27A1-A538-44EA-BC56-0ABEB93DFFF8}" name="ProdNameCode" displayName="ProdNameCode" ref="A1:C8" totalsRowShown="0" headerRowDxfId="60" dataDxfId="59">
  <tableColumns count="3">
    <tableColumn id="1" xr3:uid="{BF79E3F2-874B-4FCD-85D1-E4CB8AD2E91A}" name="Product Name" dataDxfId="58"/>
    <tableColumn id="2" xr3:uid="{3E56C7B0-297C-4E72-88DD-8EB4C6FB014B}" name="Product Code" dataDxfId="57"/>
    <tableColumn id="3" xr3:uid="{9A57EE6E-82A3-4B4A-997E-BAB3C545762F}" name="Shelf life (Months)" dataDxfId="56"/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9379EB5-0802-435D-9CAE-7ECDBF3DB94C}" name="StdMoisture" displayName="StdMoisture" ref="B11:E18" totalsRowShown="0" headerRowDxfId="55" dataDxfId="54">
  <tableColumns count="4">
    <tableColumn id="1" xr3:uid="{5D9C055B-5FFD-451C-B86C-D69347AC4435}" name="Product Name" dataDxfId="53"/>
    <tableColumn id="2" xr3:uid="{9989170F-AFDD-4355-BDCE-3C03229DF08F}" name="Product Code" dataDxfId="52"/>
    <tableColumn id="3" xr3:uid="{22675577-EFBC-4286-9AC0-B83CD79CA4A8}" name="Standard" dataDxfId="51"/>
    <tableColumn id="4" xr3:uid="{8C204D06-96FF-40CE-BAE1-1F6AAF4C70E8}" name="Maximum" dataDxfId="5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5.xml"/><Relationship Id="rId3" Type="http://schemas.openxmlformats.org/officeDocument/2006/relationships/table" Target="../tables/table10.xml"/><Relationship Id="rId7" Type="http://schemas.openxmlformats.org/officeDocument/2006/relationships/table" Target="../tables/table14.xml"/><Relationship Id="rId2" Type="http://schemas.openxmlformats.org/officeDocument/2006/relationships/table" Target="../tables/table9.xml"/><Relationship Id="rId1" Type="http://schemas.openxmlformats.org/officeDocument/2006/relationships/table" Target="../tables/table8.xml"/><Relationship Id="rId6" Type="http://schemas.openxmlformats.org/officeDocument/2006/relationships/table" Target="../tables/table13.xml"/><Relationship Id="rId5" Type="http://schemas.openxmlformats.org/officeDocument/2006/relationships/table" Target="../tables/table12.xml"/><Relationship Id="rId4" Type="http://schemas.openxmlformats.org/officeDocument/2006/relationships/table" Target="../tables/table1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97489-3A46-483F-A3B0-351E26487C2D}">
  <dimension ref="A1:M1048564"/>
  <sheetViews>
    <sheetView topLeftCell="A55" zoomScale="148" zoomScaleNormal="148" workbookViewId="0">
      <selection activeCell="E67" sqref="E67"/>
    </sheetView>
  </sheetViews>
  <sheetFormatPr defaultRowHeight="15" x14ac:dyDescent="0.25"/>
  <cols>
    <col min="1" max="1" width="17.7109375" customWidth="1"/>
    <col min="2" max="2" width="20.140625" customWidth="1"/>
    <col min="3" max="3" width="20.7109375" customWidth="1"/>
    <col min="4" max="4" width="23.28515625" bestFit="1" customWidth="1"/>
    <col min="5" max="6" width="15.7109375" customWidth="1"/>
    <col min="7" max="7" width="13.140625" customWidth="1"/>
    <col min="11" max="11" width="16.140625" bestFit="1" customWidth="1"/>
    <col min="12" max="12" width="17.7109375" customWidth="1"/>
    <col min="13" max="13" width="16" bestFit="1" customWidth="1"/>
  </cols>
  <sheetData>
    <row r="1" spans="1:13" x14ac:dyDescent="0.25">
      <c r="A1" t="s">
        <v>0</v>
      </c>
      <c r="B1" t="s">
        <v>1</v>
      </c>
      <c r="C1" s="2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 s="2">
        <v>45566</v>
      </c>
      <c r="B2">
        <v>24001</v>
      </c>
      <c r="C2" s="2">
        <v>45566</v>
      </c>
      <c r="D2" t="s">
        <v>13</v>
      </c>
      <c r="E2" t="str">
        <f>VLOOKUP(MoistureT[[#This Row],[Product Name]], StdMoisture[#All], 2, FALSE)</f>
        <v>4/A4010</v>
      </c>
      <c r="F2">
        <v>20241001</v>
      </c>
      <c r="G2" s="2">
        <f>EDATE(MoistureT[[#This Row],[Manufacturing Date]],VLOOKUP(MoistureT[[#This Row],[Product Name]],ProdNameCode[#All],3,FALSE))</f>
        <v>45931</v>
      </c>
      <c r="H2">
        <v>2.4</v>
      </c>
      <c r="I2">
        <v>5</v>
      </c>
      <c r="J2">
        <v>3</v>
      </c>
      <c r="K2" s="6">
        <f>IFERROR(AVERAGE(MoistureT[[#This Row],[Trial 1]:[Trial 3]]), "Enter valid result")</f>
        <v>3.4666666666666668</v>
      </c>
      <c r="L2">
        <f>VLOOKUP(MoistureT[[#This Row],[Product Name]], StdMoisture[#All], 4, FALSE)</f>
        <v>5</v>
      </c>
      <c r="M2" t="str">
        <f>IF(MoistureT[[#This Row],[Result]]&lt;MoistureT[[#This Row],[Maximum Value]], "Conforms", "Did Not Conform")</f>
        <v>Conforms</v>
      </c>
    </row>
    <row r="3" spans="1:13" x14ac:dyDescent="0.25">
      <c r="A3" s="2">
        <v>45568</v>
      </c>
      <c r="B3">
        <v>24004</v>
      </c>
      <c r="C3" s="2">
        <v>45568</v>
      </c>
      <c r="D3" t="s">
        <v>16</v>
      </c>
      <c r="E3" t="str">
        <f>VLOOKUP(MoistureT[[#This Row],[Product Name]], StdMoisture[#All], 2, FALSE)</f>
        <v>1/B2000</v>
      </c>
      <c r="F3">
        <v>20241003</v>
      </c>
      <c r="G3" s="2">
        <f>EDATE(MoistureT[[#This Row],[Manufacturing Date]],VLOOKUP(MoistureT[[#This Row],[Product Name]],ProdNameCode[#All],3,FALSE))</f>
        <v>46298</v>
      </c>
      <c r="H3">
        <v>0.98</v>
      </c>
      <c r="I3">
        <v>0.5</v>
      </c>
      <c r="J3">
        <v>1</v>
      </c>
      <c r="K3" s="6">
        <f>IFERROR(AVERAGE(MoistureT[[#This Row],[Trial 1]:[Trial 3]]), "Enter valid result")</f>
        <v>0.82666666666666666</v>
      </c>
      <c r="L3">
        <f>VLOOKUP(MoistureT[[#This Row],[Product Name]], StdMoisture[#All], 4, FALSE)</f>
        <v>1.5</v>
      </c>
      <c r="M3" t="str">
        <f>IF(MoistureT[[#This Row],[Result]]&lt;MoistureT[[#This Row],[Maximum Value]], "Conforms", "Did Not Conform")</f>
        <v>Conforms</v>
      </c>
    </row>
    <row r="4" spans="1:13" x14ac:dyDescent="0.25">
      <c r="A4" s="2">
        <v>45570</v>
      </c>
      <c r="B4">
        <v>24005</v>
      </c>
      <c r="C4" s="2">
        <v>45570</v>
      </c>
      <c r="D4" t="s">
        <v>17</v>
      </c>
      <c r="E4" t="str">
        <f>VLOOKUP(MoistureT[[#This Row],[Product Name]], StdMoisture[#All], 2, FALSE)</f>
        <v>1/B3000</v>
      </c>
      <c r="F4">
        <v>20241004</v>
      </c>
      <c r="G4" s="2">
        <f>EDATE(MoistureT[[#This Row],[Manufacturing Date]],VLOOKUP(MoistureT[[#This Row],[Product Name]],ProdNameCode[#All],3,FALSE))</f>
        <v>46300</v>
      </c>
      <c r="H4">
        <v>0.5</v>
      </c>
      <c r="I4">
        <v>0.9</v>
      </c>
      <c r="J4">
        <v>1.2</v>
      </c>
      <c r="K4" s="6">
        <f>IFERROR(AVERAGE(MoistureT[[#This Row],[Trial 1]:[Trial 3]]), "Enter valid result")</f>
        <v>0.86666666666666659</v>
      </c>
      <c r="L4">
        <f>VLOOKUP(MoistureT[[#This Row],[Product Name]], StdMoisture[#All], 4, FALSE)</f>
        <v>1.5</v>
      </c>
      <c r="M4" t="str">
        <f>IF(MoistureT[[#This Row],[Result]]&lt;MoistureT[[#This Row],[Maximum Value]], "Conforms", "Did Not Conform")</f>
        <v>Conforms</v>
      </c>
    </row>
    <row r="1048564" spans="3:3" x14ac:dyDescent="0.25">
      <c r="C1048564" s="2"/>
    </row>
  </sheetData>
  <conditionalFormatting sqref="M2:M4">
    <cfRule type="cellIs" dxfId="13" priority="1" operator="equal">
      <formula>"Conforms"</formula>
    </cfRule>
    <cfRule type="cellIs" dxfId="12" priority="2" operator="equal">
      <formula>"Did Not Conform"</formula>
    </cfRule>
  </conditionalFormatting>
  <dataValidations xWindow="131" yWindow="568" count="2">
    <dataValidation type="date" operator="lessThanOrEqual" allowBlank="1" showInputMessage="1" showErrorMessage="1" prompt="Input format: day/month/year_x000a_" sqref="C2:C1048576 A3:A1048576" xr:uid="{CD3EEBF8-19B9-4B04-AB23-2DC60FF1C704}">
      <formula1>TODAY()</formula1>
    </dataValidation>
    <dataValidation type="date" operator="lessThanOrEqual" allowBlank="1" showInputMessage="1" showErrorMessage="1" prompt="Input format: day/month/year" sqref="A2" xr:uid="{6B11F8A3-774F-4B5A-94E6-9AA22652D5F0}">
      <formula1>TODAY()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xWindow="131" yWindow="568" count="1">
        <x14:dataValidation type="list" allowBlank="1" showInputMessage="1" showErrorMessage="1" xr:uid="{AA94E43C-9FD9-4BDB-86B8-CB8F580B0E27}">
          <x14:formula1>
            <xm:f>Standards!$B$12:$B$18</xm:f>
          </x14:formula1>
          <xm:sqref>D2:D1048576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F9C89-0525-4435-ACB0-430480C80D6A}">
  <dimension ref="A1:M1048573"/>
  <sheetViews>
    <sheetView zoomScale="148" zoomScaleNormal="148" workbookViewId="0">
      <selection activeCell="D8" sqref="D8"/>
    </sheetView>
  </sheetViews>
  <sheetFormatPr defaultRowHeight="15" x14ac:dyDescent="0.25"/>
  <cols>
    <col min="1" max="1" width="17.7109375" customWidth="1"/>
    <col min="2" max="2" width="20.140625" customWidth="1"/>
    <col min="3" max="3" width="20.7109375" customWidth="1"/>
    <col min="4" max="4" width="23.28515625" bestFit="1" customWidth="1"/>
    <col min="5" max="6" width="15.7109375" customWidth="1"/>
    <col min="7" max="7" width="13.140625" customWidth="1"/>
    <col min="11" max="11" width="16.140625" bestFit="1" customWidth="1"/>
    <col min="12" max="12" width="17.7109375" customWidth="1"/>
    <col min="13" max="13" width="16" bestFit="1" customWidth="1"/>
  </cols>
  <sheetData>
    <row r="1" spans="1:13" x14ac:dyDescent="0.25">
      <c r="A1" t="s">
        <v>0</v>
      </c>
      <c r="B1" t="s">
        <v>1</v>
      </c>
      <c r="C1" s="2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 s="2">
        <v>45566</v>
      </c>
      <c r="B2">
        <v>24001</v>
      </c>
      <c r="C2" s="2">
        <v>45566</v>
      </c>
      <c r="D2" t="s">
        <v>13</v>
      </c>
      <c r="E2" t="str">
        <f>VLOOKUP(MoistureT[[#This Row],[Product Name]], StdMoisture[#All], 2, FALSE)</f>
        <v>4/A4010</v>
      </c>
      <c r="F2">
        <v>20241001</v>
      </c>
      <c r="G2" s="2">
        <f>EDATE(AerobicPlateCountT[[#This Row],[Manufacturing Date]],VLOOKUP(AerobicPlateCountT[[#This Row],[Product Name]],ProdNameCode[#All],3,FALSE))</f>
        <v>45931</v>
      </c>
      <c r="H2" s="1">
        <v>10000</v>
      </c>
      <c r="I2" s="1">
        <v>8000</v>
      </c>
      <c r="J2" s="1">
        <v>7000</v>
      </c>
      <c r="K2" s="1">
        <f>IFERROR(AVERAGE(AerobicPlateCountT[[#This Row],[Trial 1]:[Trial 3]]), "Enter valid result")</f>
        <v>8333.3333333333339</v>
      </c>
      <c r="L2" s="1">
        <f>VLOOKUP(AerobicPlateCountT[[#This Row],[Product Name]], StdAerobicCount[#All], 4,FALSE)</f>
        <v>10000</v>
      </c>
      <c r="M2" t="str">
        <f>IF(AerobicPlateCountT[[#This Row],[Result]]&lt;AerobicPlateCountT[[#This Row],[Maximum Value]], "Conforms", "Did Not Conform")</f>
        <v>Conforms</v>
      </c>
    </row>
    <row r="3" spans="1:13" x14ac:dyDescent="0.25">
      <c r="A3" s="2">
        <v>45568</v>
      </c>
      <c r="B3">
        <v>24004</v>
      </c>
      <c r="C3" s="2">
        <v>45568</v>
      </c>
      <c r="D3" t="s">
        <v>16</v>
      </c>
      <c r="E3" t="str">
        <f>VLOOKUP(MoistureT[[#This Row],[Product Name]], StdMoisture[#All], 2, FALSE)</f>
        <v>1/B2000</v>
      </c>
      <c r="F3">
        <v>20241003</v>
      </c>
      <c r="G3" s="2">
        <f>EDATE(AerobicPlateCountT[[#This Row],[Manufacturing Date]],VLOOKUP(AerobicPlateCountT[[#This Row],[Product Name]],ProdNameCode[#All],3,FALSE))</f>
        <v>46298</v>
      </c>
      <c r="H3" s="1">
        <v>2000</v>
      </c>
      <c r="I3" s="1">
        <v>5000</v>
      </c>
      <c r="J3" s="1">
        <v>1200</v>
      </c>
      <c r="K3" s="1">
        <f>IFERROR(AVERAGE(AerobicPlateCountT[[#This Row],[Trial 1]:[Trial 3]]), "Enter valid result")</f>
        <v>2733.3333333333335</v>
      </c>
      <c r="L3" s="1">
        <f>VLOOKUP(AerobicPlateCountT[[#This Row],[Product Name]], StdAerobicCount[#All], 4,FALSE)</f>
        <v>5000</v>
      </c>
      <c r="M3" t="str">
        <f>IF(AerobicPlateCountT[[#This Row],[Result]]&lt;AerobicPlateCountT[[#This Row],[Maximum Value]], "Conforms", "Did Not Conform")</f>
        <v>Conforms</v>
      </c>
    </row>
    <row r="4" spans="1:13" x14ac:dyDescent="0.25">
      <c r="A4" s="2">
        <v>45570</v>
      </c>
      <c r="B4">
        <v>24005</v>
      </c>
      <c r="C4" s="2">
        <v>45570</v>
      </c>
      <c r="D4" t="s">
        <v>17</v>
      </c>
      <c r="E4" t="str">
        <f>VLOOKUP(MoistureT[[#This Row],[Product Name]], StdMoisture[#All], 2, FALSE)</f>
        <v>1/B3000</v>
      </c>
      <c r="F4">
        <v>20241004</v>
      </c>
      <c r="G4" s="2">
        <f>EDATE(AerobicPlateCountT[[#This Row],[Manufacturing Date]],VLOOKUP(AerobicPlateCountT[[#This Row],[Product Name]],ProdNameCode[#All],3,FALSE))</f>
        <v>46300</v>
      </c>
      <c r="H4" s="1">
        <v>5000</v>
      </c>
      <c r="I4" s="1">
        <v>6000</v>
      </c>
      <c r="J4" s="1">
        <v>2000</v>
      </c>
      <c r="K4" s="1">
        <f>IFERROR(AVERAGE(AerobicPlateCountT[[#This Row],[Trial 1]:[Trial 3]]), "Enter valid result")</f>
        <v>4333.333333333333</v>
      </c>
      <c r="L4" s="1">
        <f>VLOOKUP(AerobicPlateCountT[[#This Row],[Product Name]], StdAerobicCount[#All], 4,FALSE)</f>
        <v>5000</v>
      </c>
      <c r="M4" t="str">
        <f>IF(AerobicPlateCountT[[#This Row],[Result]]&lt;AerobicPlateCountT[[#This Row],[Maximum Value]], "Conforms", "Did Not Conform")</f>
        <v>Conforms</v>
      </c>
    </row>
    <row r="1048573" spans="3:3" x14ac:dyDescent="0.25">
      <c r="C1048573" s="2"/>
    </row>
  </sheetData>
  <conditionalFormatting sqref="M2:M4">
    <cfRule type="cellIs" dxfId="11" priority="1" operator="equal">
      <formula>"Conforms"</formula>
    </cfRule>
    <cfRule type="cellIs" dxfId="10" priority="2" operator="equal">
      <formula>"Did Not Conform"</formula>
    </cfRule>
  </conditionalFormatting>
  <dataValidations count="1">
    <dataValidation type="date" operator="lessThanOrEqual" allowBlank="1" showInputMessage="1" showErrorMessage="1" prompt="Input format: day/month/year_x000a_" sqref="C2:C1048576 A2:A1048576" xr:uid="{E739334D-B54B-4FCE-BE21-C4EAE03E6F40}">
      <formula1>TODAY()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B3A6AC8-F1AC-45F6-9964-F6E30E8A3013}">
          <x14:formula1>
            <xm:f>Standards!$B$12:$B$18</xm:f>
          </x14:formula1>
          <xm:sqref>D2:D1048576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D0DB2-58E9-4547-B8B6-B2591E55B9BA}">
  <dimension ref="A1:M1048573"/>
  <sheetViews>
    <sheetView zoomScaleNormal="100" workbookViewId="0">
      <selection activeCell="D9" sqref="D9"/>
    </sheetView>
  </sheetViews>
  <sheetFormatPr defaultRowHeight="15" x14ac:dyDescent="0.25"/>
  <cols>
    <col min="1" max="1" width="17.7109375" customWidth="1"/>
    <col min="2" max="2" width="20.140625" customWidth="1"/>
    <col min="3" max="3" width="20.7109375" customWidth="1"/>
    <col min="4" max="4" width="23.28515625" bestFit="1" customWidth="1"/>
    <col min="5" max="6" width="15.7109375" customWidth="1"/>
    <col min="7" max="7" width="13.140625" customWidth="1"/>
    <col min="11" max="11" width="16.140625" bestFit="1" customWidth="1"/>
    <col min="12" max="12" width="17.7109375" customWidth="1"/>
    <col min="13" max="13" width="16" bestFit="1" customWidth="1"/>
  </cols>
  <sheetData>
    <row r="1" spans="1:13" x14ac:dyDescent="0.25">
      <c r="A1" t="s">
        <v>0</v>
      </c>
      <c r="B1" t="s">
        <v>1</v>
      </c>
      <c r="C1" s="2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 s="2">
        <v>45566</v>
      </c>
      <c r="B2">
        <v>24001</v>
      </c>
      <c r="C2" s="2">
        <v>45566</v>
      </c>
      <c r="D2" t="s">
        <v>13</v>
      </c>
      <c r="E2" t="str">
        <f>VLOOKUP(MoistureT[[#This Row],[Product Name]], StdMoisture[#All], 2, FALSE)</f>
        <v>4/A4010</v>
      </c>
      <c r="F2">
        <v>20241001</v>
      </c>
      <c r="G2" s="2">
        <f>EDATE(MoistureT[[#This Row],[Manufacturing Date]],VLOOKUP(MoistureT[[#This Row],[Product Name]],ProdNameCode[#All],3,FALSE))</f>
        <v>45931</v>
      </c>
      <c r="H2" s="1">
        <v>0</v>
      </c>
      <c r="I2" s="1">
        <v>0</v>
      </c>
      <c r="J2" s="1">
        <v>0</v>
      </c>
      <c r="K2" s="1">
        <f>IFERROR(AVERAGE(ColiformsT[[#This Row],[Trial 1]:[Trial 3]]), "Enter valid result")</f>
        <v>0</v>
      </c>
      <c r="L2" s="1">
        <f>VLOOKUP(ColiformsT[[#This Row],[Product Name]],StdColiforms[#All], 4,FALSE)</f>
        <v>0</v>
      </c>
      <c r="M2" t="str">
        <f>IF(ColiformsT[[#This Row],[Result]]&lt;=ColiformsT[[#This Row],[Maximum Value]], "Conforms", "Did Not Conform")</f>
        <v>Conforms</v>
      </c>
    </row>
    <row r="3" spans="1:13" x14ac:dyDescent="0.25">
      <c r="A3" s="2">
        <v>45568</v>
      </c>
      <c r="B3">
        <v>24004</v>
      </c>
      <c r="C3" s="2">
        <v>45568</v>
      </c>
      <c r="D3" t="s">
        <v>16</v>
      </c>
      <c r="E3" t="str">
        <f>VLOOKUP(MoistureT[[#This Row],[Product Name]], StdMoisture[#All], 2, FALSE)</f>
        <v>1/B2000</v>
      </c>
      <c r="F3">
        <v>20241003</v>
      </c>
      <c r="G3" s="2">
        <f>EDATE(MoistureT[[#This Row],[Manufacturing Date]],VLOOKUP(MoistureT[[#This Row],[Product Name]],ProdNameCode[#All],3,FALSE))</f>
        <v>46298</v>
      </c>
      <c r="H3" s="1">
        <v>0</v>
      </c>
      <c r="I3" s="1">
        <v>0</v>
      </c>
      <c r="J3" s="1">
        <v>0</v>
      </c>
      <c r="K3" s="1">
        <f>IFERROR(AVERAGE(ColiformsT[[#This Row],[Trial 1]:[Trial 3]]), "Enter valid result")</f>
        <v>0</v>
      </c>
      <c r="L3" s="1">
        <f>VLOOKUP(ColiformsT[[#This Row],[Product Name]],StdColiforms[#All], 4,FALSE)</f>
        <v>0</v>
      </c>
      <c r="M3" t="str">
        <f>IF(ColiformsT[[#This Row],[Result]]&lt;=ColiformsT[[#This Row],[Maximum Value]], "Conforms", "Did Not Conform")</f>
        <v>Conforms</v>
      </c>
    </row>
    <row r="4" spans="1:13" x14ac:dyDescent="0.25">
      <c r="A4" s="2">
        <v>45570</v>
      </c>
      <c r="B4">
        <v>24005</v>
      </c>
      <c r="C4" s="2">
        <v>45570</v>
      </c>
      <c r="D4" t="s">
        <v>17</v>
      </c>
      <c r="E4" t="str">
        <f>VLOOKUP(MoistureT[[#This Row],[Product Name]], StdMoisture[#All], 2, FALSE)</f>
        <v>1/B3000</v>
      </c>
      <c r="F4">
        <v>20241004</v>
      </c>
      <c r="G4" s="2">
        <f>EDATE(MoistureT[[#This Row],[Manufacturing Date]],VLOOKUP(MoistureT[[#This Row],[Product Name]],ProdNameCode[#All],3,FALSE))</f>
        <v>46300</v>
      </c>
      <c r="H4" s="1">
        <v>1</v>
      </c>
      <c r="I4" s="1">
        <v>0</v>
      </c>
      <c r="J4" s="1">
        <v>1</v>
      </c>
      <c r="K4" s="1">
        <f>IFERROR(AVERAGE(ColiformsT[[#This Row],[Trial 1]:[Trial 3]]), "Enter valid result")</f>
        <v>0.66666666666666663</v>
      </c>
      <c r="L4" s="1">
        <f>VLOOKUP(ColiformsT[[#This Row],[Product Name]],StdColiforms[#All], 4,FALSE)</f>
        <v>0</v>
      </c>
      <c r="M4" t="str">
        <f>IF(ColiformsT[[#This Row],[Result]]&lt;=ColiformsT[[#This Row],[Maximum Value]], "Conforms", "Did Not Conform")</f>
        <v>Did Not Conform</v>
      </c>
    </row>
    <row r="1048573" spans="3:3" x14ac:dyDescent="0.25">
      <c r="C1048573" s="2"/>
    </row>
  </sheetData>
  <conditionalFormatting sqref="M2:M4">
    <cfRule type="cellIs" dxfId="9" priority="1" operator="equal">
      <formula>"Conforms"</formula>
    </cfRule>
    <cfRule type="cellIs" dxfId="8" priority="2" operator="equal">
      <formula>"Did Not Conform"</formula>
    </cfRule>
  </conditionalFormatting>
  <dataValidations count="1">
    <dataValidation type="date" operator="lessThanOrEqual" allowBlank="1" showInputMessage="1" showErrorMessage="1" prompt="Input format: day/month/year_x000a_" sqref="C2:C1048576 A2:A1048576" xr:uid="{589E82EC-C3B3-4B76-B8A6-07AA75BAC6CD}">
      <formula1>TODAY()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9C5F3ED-D19E-4AFC-BD37-191F9F25189E}">
          <x14:formula1>
            <xm:f>Standards!$B$12:$B$18</xm:f>
          </x14:formula1>
          <xm:sqref>D2:D1048576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172BB2-D84F-453B-B139-176033F73A0A}">
  <dimension ref="A1:M1048573"/>
  <sheetViews>
    <sheetView zoomScale="82" zoomScaleNormal="82" workbookViewId="0">
      <selection activeCell="E14" sqref="E14"/>
    </sheetView>
  </sheetViews>
  <sheetFormatPr defaultRowHeight="15" x14ac:dyDescent="0.25"/>
  <cols>
    <col min="1" max="1" width="17.7109375" customWidth="1"/>
    <col min="2" max="2" width="20.140625" customWidth="1"/>
    <col min="3" max="3" width="20.7109375" customWidth="1"/>
    <col min="4" max="4" width="23.28515625" bestFit="1" customWidth="1"/>
    <col min="5" max="6" width="15.7109375" customWidth="1"/>
    <col min="7" max="7" width="13.140625" customWidth="1"/>
    <col min="11" max="11" width="16.140625" bestFit="1" customWidth="1"/>
    <col min="12" max="12" width="17.7109375" customWidth="1"/>
    <col min="13" max="13" width="16" bestFit="1" customWidth="1"/>
  </cols>
  <sheetData>
    <row r="1" spans="1:13" x14ac:dyDescent="0.25">
      <c r="A1" t="s">
        <v>0</v>
      </c>
      <c r="B1" t="s">
        <v>1</v>
      </c>
      <c r="C1" s="2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 s="2">
        <v>45566</v>
      </c>
      <c r="B2">
        <v>24001</v>
      </c>
      <c r="C2" s="2">
        <v>45566</v>
      </c>
      <c r="D2" t="s">
        <v>13</v>
      </c>
      <c r="E2" t="str">
        <f>VLOOKUP(MoistureT[[#This Row],[Product Name]], StdMoisture[#All], 2, FALSE)</f>
        <v>4/A4010</v>
      </c>
      <c r="F2">
        <v>20241001</v>
      </c>
      <c r="G2" s="2">
        <f>EDATE(EColiCountT[[#This Row],[Manufacturing Date]],VLOOKUP(EColiCountT[[#This Row],[Product Name]],ProdNameCode[#All],3,FALSE))</f>
        <v>45931</v>
      </c>
      <c r="H2" s="1">
        <v>0</v>
      </c>
      <c r="I2" s="1">
        <v>0</v>
      </c>
      <c r="J2" s="1">
        <v>0</v>
      </c>
      <c r="K2" s="1">
        <f>IFERROR(AVERAGE(EColiCountT[[#This Row],[Trial 1]:[Trial 3]]), "Enter valid result")</f>
        <v>0</v>
      </c>
      <c r="L2" s="1">
        <f>VLOOKUP(EColiCountT[[#This Row],[Product Name]],StdEColiCountPlate[#All], 4,FALSE)</f>
        <v>0</v>
      </c>
      <c r="M2" t="str">
        <f>IF(EColiCountT[[#This Row],[Result]]&lt;=EColiCountT[[#This Row],[Maximum Value]], "Conforms", "Did Not Conform")</f>
        <v>Conforms</v>
      </c>
    </row>
    <row r="3" spans="1:13" x14ac:dyDescent="0.25">
      <c r="A3" s="2">
        <v>45568</v>
      </c>
      <c r="B3">
        <v>24004</v>
      </c>
      <c r="C3" s="2">
        <v>45568</v>
      </c>
      <c r="D3" t="s">
        <v>16</v>
      </c>
      <c r="E3" t="str">
        <f>VLOOKUP(MoistureT[[#This Row],[Product Name]], StdMoisture[#All], 2, FALSE)</f>
        <v>1/B2000</v>
      </c>
      <c r="F3">
        <v>20241003</v>
      </c>
      <c r="G3" s="2">
        <f>EDATE(EColiCountT[[#This Row],[Manufacturing Date]],VLOOKUP(EColiCountT[[#This Row],[Product Name]],ProdNameCode[#All],3,FALSE))</f>
        <v>46298</v>
      </c>
      <c r="H3" s="1">
        <v>0</v>
      </c>
      <c r="I3" s="1">
        <v>0</v>
      </c>
      <c r="J3" s="1">
        <v>0</v>
      </c>
      <c r="K3" s="1">
        <f>IFERROR(AVERAGE(EColiCountT[[#This Row],[Trial 1]:[Trial 3]]), "Enter valid result")</f>
        <v>0</v>
      </c>
      <c r="L3" s="1">
        <f>VLOOKUP(EColiCountT[[#This Row],[Product Name]],StdEColiCountPlate[#All], 4,FALSE)</f>
        <v>0</v>
      </c>
      <c r="M3" t="str">
        <f>IF(EColiCountT[[#This Row],[Result]]&lt;=EColiCountT[[#This Row],[Maximum Value]], "Conforms", "Did Not Conform")</f>
        <v>Conforms</v>
      </c>
    </row>
    <row r="4" spans="1:13" x14ac:dyDescent="0.25">
      <c r="A4" s="2">
        <v>45570</v>
      </c>
      <c r="B4">
        <v>24005</v>
      </c>
      <c r="C4" s="2">
        <v>45570</v>
      </c>
      <c r="D4" t="s">
        <v>17</v>
      </c>
      <c r="E4" t="str">
        <f>VLOOKUP(MoistureT[[#This Row],[Product Name]], StdMoisture[#All], 2, FALSE)</f>
        <v>1/B3000</v>
      </c>
      <c r="F4">
        <v>20241004</v>
      </c>
      <c r="G4" s="2">
        <f>EDATE(EColiCountT[[#This Row],[Manufacturing Date]],VLOOKUP(EColiCountT[[#This Row],[Product Name]],ProdNameCode[#All],3,FALSE))</f>
        <v>46300</v>
      </c>
      <c r="H4" s="1">
        <v>0</v>
      </c>
      <c r="I4" s="1">
        <v>0</v>
      </c>
      <c r="J4" s="1">
        <v>0</v>
      </c>
      <c r="K4" s="1">
        <f>IFERROR(AVERAGE(EColiCountT[[#This Row],[Trial 1]:[Trial 3]]), "Enter valid result")</f>
        <v>0</v>
      </c>
      <c r="L4" s="1">
        <f>VLOOKUP(EColiCountT[[#This Row],[Product Name]],StdEColiCountPlate[#All], 4,FALSE)</f>
        <v>0</v>
      </c>
      <c r="M4" t="str">
        <f>IF(EColiCountT[[#This Row],[Result]]&lt;=EColiCountT[[#This Row],[Maximum Value]], "Conforms", "Did Not Conform")</f>
        <v>Conforms</v>
      </c>
    </row>
    <row r="1048573" spans="3:3" x14ac:dyDescent="0.25">
      <c r="C1048573" s="2"/>
    </row>
  </sheetData>
  <conditionalFormatting sqref="M2:M4">
    <cfRule type="cellIs" dxfId="7" priority="1" operator="equal">
      <formula>"Conforms"</formula>
    </cfRule>
    <cfRule type="cellIs" dxfId="6" priority="2" operator="equal">
      <formula>"Did Not Conform"</formula>
    </cfRule>
  </conditionalFormatting>
  <dataValidations count="1">
    <dataValidation type="date" operator="lessThanOrEqual" allowBlank="1" showInputMessage="1" showErrorMessage="1" prompt="Input format: day/month/year_x000a_" sqref="C2:C1048576 A2:A1048576" xr:uid="{DE778751-FE57-4FD6-871D-F6EB9CE89948}">
      <formula1>TODAY()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C576571-AEDD-4601-B0A1-B6FB261092A1}">
          <x14:formula1>
            <xm:f>Standards!$B$12:$B$18</xm:f>
          </x14:formula1>
          <xm:sqref>D2:D1048576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34571-36B7-4997-A40F-F3A5654123A9}">
  <dimension ref="A1:M1048573"/>
  <sheetViews>
    <sheetView zoomScale="82" zoomScaleNormal="82" workbookViewId="0">
      <selection activeCell="J5" sqref="J5"/>
    </sheetView>
  </sheetViews>
  <sheetFormatPr defaultRowHeight="15" x14ac:dyDescent="0.25"/>
  <cols>
    <col min="1" max="1" width="17.7109375" customWidth="1"/>
    <col min="2" max="2" width="20.140625" customWidth="1"/>
    <col min="3" max="3" width="20.7109375" customWidth="1"/>
    <col min="4" max="4" width="23.28515625" bestFit="1" customWidth="1"/>
    <col min="5" max="6" width="15.7109375" customWidth="1"/>
    <col min="7" max="7" width="13.140625" customWidth="1"/>
    <col min="11" max="11" width="16.140625" bestFit="1" customWidth="1"/>
    <col min="12" max="12" width="17.7109375" customWidth="1"/>
    <col min="13" max="13" width="16" bestFit="1" customWidth="1"/>
  </cols>
  <sheetData>
    <row r="1" spans="1:13" x14ac:dyDescent="0.25">
      <c r="A1" t="s">
        <v>0</v>
      </c>
      <c r="B1" t="s">
        <v>1</v>
      </c>
      <c r="C1" s="2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 s="2">
        <v>45566</v>
      </c>
      <c r="B2">
        <v>24001</v>
      </c>
      <c r="C2" s="2">
        <v>45566</v>
      </c>
      <c r="D2" t="s">
        <v>13</v>
      </c>
      <c r="E2" t="str">
        <f>VLOOKUP(MoistureT[[#This Row],[Product Name]], StdMoisture[#All], 2, FALSE)</f>
        <v>4/A4010</v>
      </c>
      <c r="F2">
        <v>20241001</v>
      </c>
      <c r="G2" s="2">
        <f>EDATE(EColiCountT14[[#This Row],[Manufacturing Date]],VLOOKUP(EColiCountT14[[#This Row],[Product Name]],ProdNameCode[#All],3,FALSE))</f>
        <v>45931</v>
      </c>
      <c r="H2" s="6">
        <v>0.5</v>
      </c>
      <c r="I2" s="6">
        <v>1</v>
      </c>
      <c r="J2" s="6">
        <v>0</v>
      </c>
      <c r="K2" s="6">
        <f>IFERROR(AVERAGE(EColiCountT14[[#This Row],[Trial 1]:[Trial 3]]), "Enter valid result")</f>
        <v>0.5</v>
      </c>
      <c r="L2" s="1">
        <f>VLOOKUP(EColiCountT14[[#This Row],[Product Name]],StdYeastMould[#All], 4,FALSE)</f>
        <v>1</v>
      </c>
      <c r="M2" t="str">
        <f>IF(EColiCountT14[[#This Row],[Result]]&lt;=EColiCountT14[[#This Row],[Maximum Value]], "Conforms", "Did Not Conform")</f>
        <v>Conforms</v>
      </c>
    </row>
    <row r="3" spans="1:13" x14ac:dyDescent="0.25">
      <c r="A3" s="2">
        <v>45568</v>
      </c>
      <c r="B3">
        <v>24004</v>
      </c>
      <c r="C3" s="2">
        <v>45568</v>
      </c>
      <c r="D3" t="s">
        <v>16</v>
      </c>
      <c r="E3" t="str">
        <f>VLOOKUP(MoistureT[[#This Row],[Product Name]], StdMoisture[#All], 2, FALSE)</f>
        <v>1/B2000</v>
      </c>
      <c r="F3">
        <v>20241003</v>
      </c>
      <c r="G3" s="2">
        <f>EDATE(EColiCountT14[[#This Row],[Manufacturing Date]],VLOOKUP(EColiCountT14[[#This Row],[Product Name]],ProdNameCode[#All],3,FALSE))</f>
        <v>46298</v>
      </c>
      <c r="H3" s="6">
        <v>0.5</v>
      </c>
      <c r="I3" s="6">
        <v>0.6</v>
      </c>
      <c r="J3" s="6">
        <v>1</v>
      </c>
      <c r="K3" s="6">
        <f>IFERROR(AVERAGE(EColiCountT14[[#This Row],[Trial 1]:[Trial 3]]), "Enter valid result")</f>
        <v>0.70000000000000007</v>
      </c>
      <c r="L3" s="1">
        <f>VLOOKUP(EColiCountT14[[#This Row],[Product Name]],StdYeastMould[#All], 4,FALSE)</f>
        <v>1</v>
      </c>
      <c r="M3" t="str">
        <f>IF(EColiCountT14[[#This Row],[Result]]&lt;=EColiCountT14[[#This Row],[Maximum Value]], "Conforms", "Did Not Conform")</f>
        <v>Conforms</v>
      </c>
    </row>
    <row r="4" spans="1:13" x14ac:dyDescent="0.25">
      <c r="A4" s="2">
        <v>45570</v>
      </c>
      <c r="B4">
        <v>24005</v>
      </c>
      <c r="C4" s="2">
        <v>45570</v>
      </c>
      <c r="D4" t="s">
        <v>17</v>
      </c>
      <c r="E4" t="str">
        <f>VLOOKUP(MoistureT[[#This Row],[Product Name]], StdMoisture[#All], 2, FALSE)</f>
        <v>1/B3000</v>
      </c>
      <c r="F4">
        <v>20241004</v>
      </c>
      <c r="G4" s="2">
        <f>EDATE(EColiCountT14[[#This Row],[Manufacturing Date]],VLOOKUP(EColiCountT14[[#This Row],[Product Name]],ProdNameCode[#All],3,FALSE))</f>
        <v>46300</v>
      </c>
      <c r="H4" s="6">
        <v>0.8</v>
      </c>
      <c r="I4" s="6">
        <v>0.5</v>
      </c>
      <c r="J4" s="6">
        <v>1</v>
      </c>
      <c r="K4" s="6">
        <f>IFERROR(AVERAGE(EColiCountT14[[#This Row],[Trial 1]:[Trial 3]]), "Enter valid result")</f>
        <v>0.76666666666666661</v>
      </c>
      <c r="L4" s="1">
        <f>VLOOKUP(EColiCountT14[[#This Row],[Product Name]],StdYeastMould[#All], 4,FALSE)</f>
        <v>1</v>
      </c>
      <c r="M4" t="str">
        <f>IF(EColiCountT14[[#This Row],[Result]]&lt;=EColiCountT14[[#This Row],[Maximum Value]], "Conforms", "Did Not Conform")</f>
        <v>Conforms</v>
      </c>
    </row>
    <row r="1048573" spans="3:3" x14ac:dyDescent="0.25">
      <c r="C1048573" s="2"/>
    </row>
  </sheetData>
  <conditionalFormatting sqref="M2:M4">
    <cfRule type="cellIs" dxfId="5" priority="1" operator="equal">
      <formula>"Conforms"</formula>
    </cfRule>
    <cfRule type="cellIs" dxfId="4" priority="2" operator="equal">
      <formula>"Did Not Conform"</formula>
    </cfRule>
  </conditionalFormatting>
  <dataValidations count="1">
    <dataValidation type="date" operator="lessThanOrEqual" allowBlank="1" showInputMessage="1" showErrorMessage="1" prompt="Input format: day/month/year" sqref="C2:C1048576 A2:A1048576" xr:uid="{4A3BBBB3-B2C8-41A9-BEC6-82EE7780A69A}">
      <formula1>TODAY()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5A38625-BA6D-4191-8B26-B54373DEAECB}">
          <x14:formula1>
            <xm:f>Standards!$B$12:$B$18</xm:f>
          </x14:formula1>
          <xm:sqref>D2:D1048576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0B1C3-CBEC-45DF-9022-CDC271D71C8E}">
  <dimension ref="A1:M1048573"/>
  <sheetViews>
    <sheetView zoomScale="82" zoomScaleNormal="82" workbookViewId="0">
      <selection activeCell="F15" sqref="F15"/>
    </sheetView>
  </sheetViews>
  <sheetFormatPr defaultRowHeight="15" x14ac:dyDescent="0.25"/>
  <cols>
    <col min="1" max="1" width="17.7109375" customWidth="1"/>
    <col min="2" max="2" width="20.140625" customWidth="1"/>
    <col min="3" max="3" width="20.7109375" customWidth="1"/>
    <col min="4" max="4" width="23.28515625" bestFit="1" customWidth="1"/>
    <col min="5" max="6" width="15.7109375" customWidth="1"/>
    <col min="7" max="7" width="13.140625" customWidth="1"/>
    <col min="11" max="11" width="16.140625" bestFit="1" customWidth="1"/>
    <col min="12" max="12" width="17.7109375" customWidth="1"/>
    <col min="13" max="13" width="16" bestFit="1" customWidth="1"/>
  </cols>
  <sheetData>
    <row r="1" spans="1:13" x14ac:dyDescent="0.25">
      <c r="A1" t="s">
        <v>0</v>
      </c>
      <c r="B1" t="s">
        <v>1</v>
      </c>
      <c r="C1" s="2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 s="2">
        <v>45566</v>
      </c>
      <c r="B2">
        <v>24001</v>
      </c>
      <c r="C2" s="2">
        <v>45566</v>
      </c>
      <c r="D2" t="s">
        <v>13</v>
      </c>
      <c r="E2" t="str">
        <f>VLOOKUP(MoistureT[[#This Row],[Product Name]], StdMoisture[#All], 2, FALSE)</f>
        <v>4/A4010</v>
      </c>
      <c r="F2">
        <v>20241001</v>
      </c>
      <c r="G2" s="2">
        <f>EDATE(EColiCountT15[[#This Row],[Manufacturing Date]],VLOOKUP(EColiCountT15[[#This Row],[Product Name]],ProdNameCode[#All],3,FALSE))</f>
        <v>45931</v>
      </c>
      <c r="H2" s="1">
        <v>0</v>
      </c>
      <c r="I2" s="1">
        <v>0</v>
      </c>
      <c r="J2" s="1">
        <v>0</v>
      </c>
      <c r="K2" s="1">
        <f>IFERROR(AVERAGE(EColiCountT15[[#This Row],[Trial 1]:[Trial 3]]), "Enter valid result")</f>
        <v>0</v>
      </c>
      <c r="L2" s="1">
        <f>VLOOKUP(EColiCountT15[[#This Row],[Product Name]],StdSalmonella[#All], 4,FALSE)</f>
        <v>0</v>
      </c>
      <c r="M2" t="str">
        <f>IF(EColiCountT15[[#This Row],[Result]]&lt;=EColiCountT15[[#This Row],[Maximum Value]], "Conforms", "Did Not Conform")</f>
        <v>Conforms</v>
      </c>
    </row>
    <row r="3" spans="1:13" x14ac:dyDescent="0.25">
      <c r="A3" s="2">
        <v>45568</v>
      </c>
      <c r="B3">
        <v>24004</v>
      </c>
      <c r="C3" s="2">
        <v>45568</v>
      </c>
      <c r="D3" t="s">
        <v>16</v>
      </c>
      <c r="E3" t="str">
        <f>VLOOKUP(MoistureT[[#This Row],[Product Name]], StdMoisture[#All], 2, FALSE)</f>
        <v>1/B2000</v>
      </c>
      <c r="F3">
        <v>20241003</v>
      </c>
      <c r="G3" s="2">
        <f>EDATE(EColiCountT15[[#This Row],[Manufacturing Date]],VLOOKUP(EColiCountT15[[#This Row],[Product Name]],ProdNameCode[#All],3,FALSE))</f>
        <v>46298</v>
      </c>
      <c r="H3" s="1">
        <v>0</v>
      </c>
      <c r="I3" s="1">
        <v>0</v>
      </c>
      <c r="J3" s="1">
        <v>0</v>
      </c>
      <c r="K3" s="1">
        <f>IFERROR(AVERAGE(EColiCountT15[[#This Row],[Trial 1]:[Trial 3]]), "Enter valid result")</f>
        <v>0</v>
      </c>
      <c r="L3" s="1">
        <f>VLOOKUP(EColiCountT15[[#This Row],[Product Name]],StdSalmonella[#All], 4,FALSE)</f>
        <v>0</v>
      </c>
      <c r="M3" t="str">
        <f>IF(EColiCountT15[[#This Row],[Result]]&lt;=EColiCountT15[[#This Row],[Maximum Value]], "Conforms", "Did Not Conform")</f>
        <v>Conforms</v>
      </c>
    </row>
    <row r="4" spans="1:13" x14ac:dyDescent="0.25">
      <c r="A4" s="2">
        <v>45570</v>
      </c>
      <c r="B4">
        <v>24005</v>
      </c>
      <c r="C4" s="2">
        <v>45570</v>
      </c>
      <c r="D4" t="s">
        <v>17</v>
      </c>
      <c r="E4" t="str">
        <f>VLOOKUP(MoistureT[[#This Row],[Product Name]], StdMoisture[#All], 2, FALSE)</f>
        <v>1/B3000</v>
      </c>
      <c r="F4">
        <v>20241004</v>
      </c>
      <c r="G4" s="2">
        <f>EDATE(EColiCountT15[[#This Row],[Manufacturing Date]],VLOOKUP(EColiCountT15[[#This Row],[Product Name]],ProdNameCode[#All],3,FALSE))</f>
        <v>46300</v>
      </c>
      <c r="H4" s="1">
        <v>0</v>
      </c>
      <c r="I4" s="1">
        <v>0</v>
      </c>
      <c r="J4" s="1">
        <v>0</v>
      </c>
      <c r="K4" s="1">
        <f>IFERROR(AVERAGE(EColiCountT15[[#This Row],[Trial 1]:[Trial 3]]), "Enter valid result")</f>
        <v>0</v>
      </c>
      <c r="L4" s="1">
        <f>VLOOKUP(EColiCountT15[[#This Row],[Product Name]],StdSalmonella[#All], 4,FALSE)</f>
        <v>0</v>
      </c>
      <c r="M4" t="str">
        <f>IF(EColiCountT15[[#This Row],[Result]]&lt;=EColiCountT15[[#This Row],[Maximum Value]], "Conforms", "Did Not Conform")</f>
        <v>Conforms</v>
      </c>
    </row>
    <row r="1048573" spans="3:3" x14ac:dyDescent="0.25">
      <c r="C1048573" s="2"/>
    </row>
  </sheetData>
  <conditionalFormatting sqref="M2:M4">
    <cfRule type="cellIs" dxfId="3" priority="1" operator="equal">
      <formula>"Conforms"</formula>
    </cfRule>
    <cfRule type="cellIs" dxfId="2" priority="2" operator="equal">
      <formula>"Did Not Conform"</formula>
    </cfRule>
  </conditionalFormatting>
  <dataValidations count="2">
    <dataValidation type="date" operator="lessThanOrEqual" allowBlank="1" showInputMessage="1" showErrorMessage="1" prompt="Input format: day/month/year_x000a_" sqref="C2:C1048576" xr:uid="{41826F54-2F59-4EB6-99A4-AA8F87775430}">
      <formula1>TODAY()</formula1>
    </dataValidation>
    <dataValidation type="date" operator="lessThanOrEqual" allowBlank="1" showInputMessage="1" showErrorMessage="1" prompt="Input format: day/month/year" sqref="A2:A1048576" xr:uid="{CCC5893F-A8ED-479F-AFD8-8C39C9DBDE35}">
      <formula1>TODAY()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8A705C5-1C6A-414A-ADF7-AD5D501A353D}">
          <x14:formula1>
            <xm:f>Standards!$B$12:$B$18</xm:f>
          </x14:formula1>
          <xm:sqref>D2:D1048576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6EABC-F7A5-4A4E-8B21-045CEF6FA283}">
  <dimension ref="A1:M1048573"/>
  <sheetViews>
    <sheetView zoomScale="82" zoomScaleNormal="82" workbookViewId="0">
      <selection activeCell="G3" sqref="G3"/>
    </sheetView>
  </sheetViews>
  <sheetFormatPr defaultRowHeight="15" x14ac:dyDescent="0.25"/>
  <cols>
    <col min="1" max="1" width="17.7109375" customWidth="1"/>
    <col min="2" max="2" width="20.140625" customWidth="1"/>
    <col min="3" max="3" width="20.7109375" customWidth="1"/>
    <col min="4" max="4" width="23.28515625" bestFit="1" customWidth="1"/>
    <col min="5" max="6" width="15.7109375" customWidth="1"/>
    <col min="7" max="7" width="13.140625" customWidth="1"/>
    <col min="11" max="11" width="16.140625" bestFit="1" customWidth="1"/>
    <col min="12" max="12" width="17.7109375" customWidth="1"/>
    <col min="13" max="13" width="16" bestFit="1" customWidth="1"/>
  </cols>
  <sheetData>
    <row r="1" spans="1:13" x14ac:dyDescent="0.25">
      <c r="A1" t="s">
        <v>0</v>
      </c>
      <c r="B1" t="s">
        <v>1</v>
      </c>
      <c r="C1" s="2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 s="2">
        <v>45566</v>
      </c>
      <c r="B2">
        <v>24001</v>
      </c>
      <c r="C2" s="2">
        <v>45566</v>
      </c>
      <c r="D2" t="s">
        <v>13</v>
      </c>
      <c r="E2" t="str">
        <f>VLOOKUP(MoistureT[[#This Row],[Product Name]], StdMoisture[#All], 2, FALSE)</f>
        <v>4/A4010</v>
      </c>
      <c r="F2">
        <v>20241001</v>
      </c>
      <c r="G2" s="2">
        <f>EDATE(EColiCountT1516[[#This Row],[Manufacturing Date]],VLOOKUP(EColiCountT1516[[#This Row],[Product Name]],ProdNameCode[#All],3,FALSE))</f>
        <v>45931</v>
      </c>
      <c r="H2" s="1">
        <v>0</v>
      </c>
      <c r="I2" s="1">
        <v>0</v>
      </c>
      <c r="J2" s="1">
        <v>0</v>
      </c>
      <c r="K2" s="1">
        <f>IFERROR(AVERAGE(EColiCountT1516[[#This Row],[Trial 1]:[Trial 3]]), "Enter valid result")</f>
        <v>0</v>
      </c>
      <c r="L2" s="1">
        <f>VLOOKUP(EColiCountT1516[[#This Row],[Product Name]],StdCoagStaph[#All], 4,FALSE)</f>
        <v>0</v>
      </c>
      <c r="M2" t="str">
        <f>IF(EColiCountT1516[[#This Row],[Result]]&lt;=EColiCountT1516[[#This Row],[Maximum Value]], "Conforms", "Did Not Conform")</f>
        <v>Conforms</v>
      </c>
    </row>
    <row r="3" spans="1:13" x14ac:dyDescent="0.25">
      <c r="A3" s="2">
        <v>45568</v>
      </c>
      <c r="B3">
        <v>24004</v>
      </c>
      <c r="C3" s="2">
        <v>45568</v>
      </c>
      <c r="D3" t="s">
        <v>16</v>
      </c>
      <c r="E3" t="str">
        <f>VLOOKUP(MoistureT[[#This Row],[Product Name]], StdMoisture[#All], 2, FALSE)</f>
        <v>1/B2000</v>
      </c>
      <c r="F3">
        <v>20241003</v>
      </c>
      <c r="G3" s="2">
        <f>EDATE(EColiCountT1516[[#This Row],[Manufacturing Date]],VLOOKUP(EColiCountT1516[[#This Row],[Product Name]],ProdNameCode[#All],3,FALSE))</f>
        <v>46298</v>
      </c>
      <c r="H3" s="1">
        <v>0</v>
      </c>
      <c r="I3" s="1">
        <v>0</v>
      </c>
      <c r="J3" s="1">
        <v>0</v>
      </c>
      <c r="K3" s="1">
        <f>IFERROR(AVERAGE(EColiCountT1516[[#This Row],[Trial 1]:[Trial 3]]), "Enter valid result")</f>
        <v>0</v>
      </c>
      <c r="L3" s="1">
        <f>VLOOKUP(EColiCountT1516[[#This Row],[Product Name]],StdCoagStaph[#All], 4,FALSE)</f>
        <v>0</v>
      </c>
      <c r="M3" t="str">
        <f>IF(EColiCountT1516[[#This Row],[Result]]&lt;=EColiCountT1516[[#This Row],[Maximum Value]], "Conforms", "Did Not Conform")</f>
        <v>Conforms</v>
      </c>
    </row>
    <row r="4" spans="1:13" x14ac:dyDescent="0.25">
      <c r="A4" s="2">
        <v>45570</v>
      </c>
      <c r="B4">
        <v>24005</v>
      </c>
      <c r="C4" s="2">
        <v>45570</v>
      </c>
      <c r="D4" t="s">
        <v>17</v>
      </c>
      <c r="E4" t="str">
        <f>VLOOKUP(MoistureT[[#This Row],[Product Name]], StdMoisture[#All], 2, FALSE)</f>
        <v>1/B3000</v>
      </c>
      <c r="F4">
        <v>20241004</v>
      </c>
      <c r="G4" s="2">
        <f>EDATE(EColiCountT1516[[#This Row],[Manufacturing Date]],VLOOKUP(EColiCountT1516[[#This Row],[Product Name]],ProdNameCode[#All],3,FALSE))</f>
        <v>46300</v>
      </c>
      <c r="H4" s="1">
        <v>0</v>
      </c>
      <c r="I4" s="1">
        <v>2</v>
      </c>
      <c r="J4" s="1">
        <v>0</v>
      </c>
      <c r="K4" s="1">
        <f>IFERROR(AVERAGE(EColiCountT1516[[#This Row],[Trial 1]:[Trial 3]]), "Enter valid result")</f>
        <v>0.66666666666666663</v>
      </c>
      <c r="L4" s="1">
        <f>VLOOKUP(EColiCountT1516[[#This Row],[Product Name]],StdCoagStaph[#All], 4,FALSE)</f>
        <v>0</v>
      </c>
      <c r="M4" t="str">
        <f>IF(EColiCountT1516[[#This Row],[Result]]&lt;=EColiCountT1516[[#This Row],[Maximum Value]], "Conforms", "Did Not Conform")</f>
        <v>Did Not Conform</v>
      </c>
    </row>
    <row r="1048573" spans="3:3" x14ac:dyDescent="0.25">
      <c r="C1048573" s="2"/>
    </row>
  </sheetData>
  <conditionalFormatting sqref="M2:M4">
    <cfRule type="cellIs" dxfId="1" priority="1" operator="equal">
      <formula>"Conforms"</formula>
    </cfRule>
    <cfRule type="cellIs" dxfId="0" priority="2" operator="equal">
      <formula>"Did Not Conform"</formula>
    </cfRule>
  </conditionalFormatting>
  <dataValidations count="2">
    <dataValidation type="date" operator="lessThanOrEqual" allowBlank="1" showInputMessage="1" showErrorMessage="1" prompt="Input format: day/month/year_x000a_Input example: 02/10/2024" sqref="C2:C1048576" xr:uid="{50EDDD6B-B151-43FC-A557-A3A0BB78752B}">
      <formula1>TODAY()</formula1>
    </dataValidation>
    <dataValidation type="date" operator="lessThanOrEqual" allowBlank="1" showInputMessage="1" showErrorMessage="1" prompt="Input format: day/month/year_x000a_" sqref="A2:A1048576" xr:uid="{23E33DA7-CAA2-43D6-8773-47DC24349898}">
      <formula1>TODAY()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2DB1E7E-D78F-4703-A5CC-D36294773267}">
          <x14:formula1>
            <xm:f>Standards!$B$12:$B$18</xm:f>
          </x14:formula1>
          <xm:sqref>D2:D1048576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0E9DDA-7CC6-47DC-86F8-23500981B98D}">
  <dimension ref="A1:E84"/>
  <sheetViews>
    <sheetView tabSelected="1" topLeftCell="A67" workbookViewId="0">
      <selection activeCell="C80" sqref="C80"/>
    </sheetView>
  </sheetViews>
  <sheetFormatPr defaultColWidth="9.140625" defaultRowHeight="15" x14ac:dyDescent="0.25"/>
  <cols>
    <col min="1" max="1" width="23.28515625" style="3" bestFit="1" customWidth="1"/>
    <col min="2" max="2" width="29.85546875" style="3" bestFit="1" customWidth="1"/>
    <col min="3" max="3" width="24.5703125" style="3" bestFit="1" customWidth="1"/>
    <col min="4" max="4" width="9.140625" style="3"/>
    <col min="5" max="5" width="16.140625" style="3" bestFit="1" customWidth="1"/>
    <col min="6" max="16384" width="9.140625" style="3"/>
  </cols>
  <sheetData>
    <row r="1" spans="1:5" x14ac:dyDescent="0.25">
      <c r="A1" s="3" t="s">
        <v>3</v>
      </c>
      <c r="B1" s="3" t="s">
        <v>4</v>
      </c>
      <c r="C1" s="3" t="s">
        <v>18</v>
      </c>
    </row>
    <row r="2" spans="1:5" x14ac:dyDescent="0.25">
      <c r="A2" s="3" t="s">
        <v>13</v>
      </c>
      <c r="B2" s="3" t="s">
        <v>19</v>
      </c>
      <c r="C2" s="3">
        <v>12</v>
      </c>
    </row>
    <row r="3" spans="1:5" x14ac:dyDescent="0.25">
      <c r="A3" s="3" t="s">
        <v>14</v>
      </c>
      <c r="B3" s="3" t="s">
        <v>20</v>
      </c>
      <c r="C3" s="3">
        <v>10</v>
      </c>
    </row>
    <row r="4" spans="1:5" x14ac:dyDescent="0.25">
      <c r="A4" s="3" t="s">
        <v>21</v>
      </c>
      <c r="B4" s="3" t="s">
        <v>22</v>
      </c>
      <c r="C4" s="3">
        <v>24</v>
      </c>
    </row>
    <row r="5" spans="1:5" x14ac:dyDescent="0.25">
      <c r="A5" s="3" t="s">
        <v>16</v>
      </c>
      <c r="B5" s="3" t="s">
        <v>23</v>
      </c>
      <c r="C5" s="3">
        <v>24</v>
      </c>
    </row>
    <row r="6" spans="1:5" x14ac:dyDescent="0.25">
      <c r="A6" s="3" t="s">
        <v>17</v>
      </c>
      <c r="B6" s="3" t="s">
        <v>24</v>
      </c>
      <c r="C6" s="3">
        <v>24</v>
      </c>
    </row>
    <row r="7" spans="1:5" x14ac:dyDescent="0.25">
      <c r="A7" s="3" t="s">
        <v>25</v>
      </c>
      <c r="B7" s="3" t="s">
        <v>26</v>
      </c>
      <c r="C7" s="3">
        <v>10</v>
      </c>
    </row>
    <row r="8" spans="1:5" x14ac:dyDescent="0.25">
      <c r="A8" s="3" t="s">
        <v>15</v>
      </c>
      <c r="B8" s="3" t="s">
        <v>27</v>
      </c>
      <c r="C8" s="3">
        <v>24</v>
      </c>
    </row>
    <row r="10" spans="1:5" x14ac:dyDescent="0.25">
      <c r="A10" s="4" t="s">
        <v>28</v>
      </c>
      <c r="B10" s="4" t="s">
        <v>29</v>
      </c>
    </row>
    <row r="11" spans="1:5" x14ac:dyDescent="0.25">
      <c r="B11" s="3" t="s">
        <v>3</v>
      </c>
      <c r="C11" s="3" t="s">
        <v>4</v>
      </c>
      <c r="D11" s="3" t="s">
        <v>30</v>
      </c>
      <c r="E11" s="3" t="s">
        <v>31</v>
      </c>
    </row>
    <row r="12" spans="1:5" x14ac:dyDescent="0.25">
      <c r="B12" s="3" t="s">
        <v>13</v>
      </c>
      <c r="C12" s="3" t="s">
        <v>19</v>
      </c>
      <c r="D12" s="3" t="s">
        <v>32</v>
      </c>
      <c r="E12" s="3">
        <v>5</v>
      </c>
    </row>
    <row r="13" spans="1:5" x14ac:dyDescent="0.25">
      <c r="B13" s="3" t="s">
        <v>14</v>
      </c>
      <c r="C13" s="3" t="s">
        <v>20</v>
      </c>
      <c r="D13" s="3" t="s">
        <v>33</v>
      </c>
      <c r="E13" s="3">
        <v>10</v>
      </c>
    </row>
    <row r="14" spans="1:5" x14ac:dyDescent="0.25">
      <c r="B14" s="3" t="s">
        <v>21</v>
      </c>
      <c r="C14" s="3" t="s">
        <v>22</v>
      </c>
      <c r="D14" s="3" t="s">
        <v>34</v>
      </c>
      <c r="E14" s="3">
        <v>1.5</v>
      </c>
    </row>
    <row r="15" spans="1:5" x14ac:dyDescent="0.25">
      <c r="B15" s="3" t="s">
        <v>16</v>
      </c>
      <c r="C15" s="3" t="s">
        <v>23</v>
      </c>
      <c r="D15" s="3" t="s">
        <v>34</v>
      </c>
      <c r="E15" s="3">
        <v>1.5</v>
      </c>
    </row>
    <row r="16" spans="1:5" x14ac:dyDescent="0.25">
      <c r="B16" s="3" t="s">
        <v>17</v>
      </c>
      <c r="C16" s="3" t="s">
        <v>24</v>
      </c>
      <c r="D16" s="3" t="s">
        <v>34</v>
      </c>
      <c r="E16" s="3">
        <v>1.5</v>
      </c>
    </row>
    <row r="17" spans="1:5" x14ac:dyDescent="0.25">
      <c r="B17" s="3" t="s">
        <v>25</v>
      </c>
      <c r="C17" s="3" t="s">
        <v>26</v>
      </c>
      <c r="D17" s="3" t="s">
        <v>35</v>
      </c>
      <c r="E17" s="3">
        <v>8</v>
      </c>
    </row>
    <row r="18" spans="1:5" x14ac:dyDescent="0.25">
      <c r="B18" s="3" t="s">
        <v>15</v>
      </c>
      <c r="C18" s="3" t="s">
        <v>27</v>
      </c>
      <c r="D18" s="3" t="s">
        <v>34</v>
      </c>
      <c r="E18" s="3">
        <v>1.5</v>
      </c>
    </row>
    <row r="21" spans="1:5" x14ac:dyDescent="0.25">
      <c r="A21" s="4" t="s">
        <v>28</v>
      </c>
      <c r="B21" s="4" t="s">
        <v>36</v>
      </c>
    </row>
    <row r="22" spans="1:5" x14ac:dyDescent="0.25">
      <c r="B22" s="3" t="s">
        <v>3</v>
      </c>
      <c r="C22" s="3" t="s">
        <v>4</v>
      </c>
      <c r="D22" s="3" t="s">
        <v>30</v>
      </c>
      <c r="E22" s="3" t="s">
        <v>31</v>
      </c>
    </row>
    <row r="23" spans="1:5" x14ac:dyDescent="0.25">
      <c r="B23" s="3" t="s">
        <v>13</v>
      </c>
      <c r="C23" s="3" t="s">
        <v>19</v>
      </c>
      <c r="D23" s="3" t="s">
        <v>37</v>
      </c>
      <c r="E23" s="5">
        <v>10000</v>
      </c>
    </row>
    <row r="24" spans="1:5" x14ac:dyDescent="0.25">
      <c r="B24" s="3" t="s">
        <v>14</v>
      </c>
      <c r="C24" s="3" t="s">
        <v>20</v>
      </c>
      <c r="D24" s="3" t="s">
        <v>37</v>
      </c>
      <c r="E24" s="5">
        <v>10000</v>
      </c>
    </row>
    <row r="25" spans="1:5" x14ac:dyDescent="0.25">
      <c r="B25" s="3" t="s">
        <v>21</v>
      </c>
      <c r="C25" s="3" t="s">
        <v>22</v>
      </c>
      <c r="D25" s="3" t="s">
        <v>38</v>
      </c>
      <c r="E25" s="5">
        <v>5000</v>
      </c>
    </row>
    <row r="26" spans="1:5" x14ac:dyDescent="0.25">
      <c r="B26" s="3" t="s">
        <v>16</v>
      </c>
      <c r="C26" s="3" t="s">
        <v>23</v>
      </c>
      <c r="D26" s="3" t="s">
        <v>38</v>
      </c>
      <c r="E26" s="5">
        <v>5000</v>
      </c>
    </row>
    <row r="27" spans="1:5" x14ac:dyDescent="0.25">
      <c r="B27" s="3" t="s">
        <v>17</v>
      </c>
      <c r="C27" s="3" t="s">
        <v>24</v>
      </c>
      <c r="D27" s="3" t="s">
        <v>38</v>
      </c>
      <c r="E27" s="5">
        <v>5000</v>
      </c>
    </row>
    <row r="28" spans="1:5" x14ac:dyDescent="0.25">
      <c r="B28" s="3" t="s">
        <v>25</v>
      </c>
      <c r="C28" s="3" t="s">
        <v>26</v>
      </c>
      <c r="D28" s="3" t="s">
        <v>39</v>
      </c>
      <c r="E28" s="5">
        <v>8000</v>
      </c>
    </row>
    <row r="29" spans="1:5" x14ac:dyDescent="0.25">
      <c r="B29" s="3" t="s">
        <v>15</v>
      </c>
      <c r="C29" s="3" t="s">
        <v>27</v>
      </c>
      <c r="D29" s="3" t="s">
        <v>38</v>
      </c>
      <c r="E29" s="5">
        <v>5000</v>
      </c>
    </row>
    <row r="32" spans="1:5" x14ac:dyDescent="0.25">
      <c r="A32" s="4" t="s">
        <v>28</v>
      </c>
      <c r="B32" s="4" t="s">
        <v>40</v>
      </c>
    </row>
    <row r="33" spans="1:5" x14ac:dyDescent="0.25">
      <c r="B33" s="3" t="s">
        <v>3</v>
      </c>
      <c r="C33" s="3" t="s">
        <v>4</v>
      </c>
      <c r="D33" s="3" t="s">
        <v>30</v>
      </c>
      <c r="E33" s="3" t="s">
        <v>31</v>
      </c>
    </row>
    <row r="34" spans="1:5" x14ac:dyDescent="0.25">
      <c r="B34" s="3" t="s">
        <v>13</v>
      </c>
      <c r="C34" s="3" t="s">
        <v>19</v>
      </c>
      <c r="D34" s="3" t="s">
        <v>41</v>
      </c>
      <c r="E34" s="5">
        <v>0</v>
      </c>
    </row>
    <row r="35" spans="1:5" x14ac:dyDescent="0.25">
      <c r="B35" s="3" t="s">
        <v>14</v>
      </c>
      <c r="C35" s="3" t="s">
        <v>20</v>
      </c>
      <c r="D35" s="3" t="s">
        <v>41</v>
      </c>
      <c r="E35" s="5">
        <v>0</v>
      </c>
    </row>
    <row r="36" spans="1:5" x14ac:dyDescent="0.25">
      <c r="B36" s="3" t="s">
        <v>21</v>
      </c>
      <c r="C36" s="3" t="s">
        <v>22</v>
      </c>
      <c r="D36" s="3" t="s">
        <v>41</v>
      </c>
      <c r="E36" s="5">
        <v>0</v>
      </c>
    </row>
    <row r="37" spans="1:5" x14ac:dyDescent="0.25">
      <c r="B37" s="3" t="s">
        <v>16</v>
      </c>
      <c r="C37" s="3" t="s">
        <v>23</v>
      </c>
      <c r="D37" s="3" t="s">
        <v>41</v>
      </c>
      <c r="E37" s="5">
        <v>0</v>
      </c>
    </row>
    <row r="38" spans="1:5" x14ac:dyDescent="0.25">
      <c r="B38" s="3" t="s">
        <v>17</v>
      </c>
      <c r="C38" s="3" t="s">
        <v>24</v>
      </c>
      <c r="D38" s="3" t="s">
        <v>41</v>
      </c>
      <c r="E38" s="5">
        <v>0</v>
      </c>
    </row>
    <row r="39" spans="1:5" x14ac:dyDescent="0.25">
      <c r="B39" s="3" t="s">
        <v>25</v>
      </c>
      <c r="C39" s="3" t="s">
        <v>26</v>
      </c>
      <c r="D39" s="3" t="s">
        <v>41</v>
      </c>
      <c r="E39" s="5">
        <v>0</v>
      </c>
    </row>
    <row r="40" spans="1:5" x14ac:dyDescent="0.25">
      <c r="B40" s="3" t="s">
        <v>15</v>
      </c>
      <c r="C40" s="3" t="s">
        <v>27</v>
      </c>
      <c r="D40" s="3" t="s">
        <v>41</v>
      </c>
      <c r="E40" s="5">
        <v>0</v>
      </c>
    </row>
    <row r="43" spans="1:5" x14ac:dyDescent="0.25">
      <c r="A43" s="4" t="s">
        <v>28</v>
      </c>
      <c r="B43" s="4" t="s">
        <v>42</v>
      </c>
    </row>
    <row r="44" spans="1:5" x14ac:dyDescent="0.25">
      <c r="B44" s="3" t="s">
        <v>3</v>
      </c>
      <c r="C44" s="3" t="s">
        <v>4</v>
      </c>
      <c r="D44" s="3" t="s">
        <v>30</v>
      </c>
      <c r="E44" s="3" t="s">
        <v>31</v>
      </c>
    </row>
    <row r="45" spans="1:5" x14ac:dyDescent="0.25">
      <c r="B45" s="3" t="s">
        <v>13</v>
      </c>
      <c r="C45" s="3" t="s">
        <v>19</v>
      </c>
      <c r="D45" s="3" t="s">
        <v>41</v>
      </c>
      <c r="E45" s="5">
        <v>0</v>
      </c>
    </row>
    <row r="46" spans="1:5" x14ac:dyDescent="0.25">
      <c r="B46" s="3" t="s">
        <v>14</v>
      </c>
      <c r="C46" s="3" t="s">
        <v>20</v>
      </c>
      <c r="D46" s="3" t="s">
        <v>41</v>
      </c>
      <c r="E46" s="5">
        <v>0</v>
      </c>
    </row>
    <row r="47" spans="1:5" x14ac:dyDescent="0.25">
      <c r="B47" s="3" t="s">
        <v>21</v>
      </c>
      <c r="C47" s="3" t="s">
        <v>22</v>
      </c>
      <c r="D47" s="3" t="s">
        <v>41</v>
      </c>
      <c r="E47" s="5">
        <v>0</v>
      </c>
    </row>
    <row r="48" spans="1:5" x14ac:dyDescent="0.25">
      <c r="B48" s="3" t="s">
        <v>16</v>
      </c>
      <c r="C48" s="3" t="s">
        <v>23</v>
      </c>
      <c r="D48" s="3" t="s">
        <v>41</v>
      </c>
      <c r="E48" s="5">
        <v>0</v>
      </c>
    </row>
    <row r="49" spans="1:5" x14ac:dyDescent="0.25">
      <c r="B49" s="3" t="s">
        <v>17</v>
      </c>
      <c r="C49" s="3" t="s">
        <v>24</v>
      </c>
      <c r="D49" s="3" t="s">
        <v>41</v>
      </c>
      <c r="E49" s="5">
        <v>0</v>
      </c>
    </row>
    <row r="50" spans="1:5" x14ac:dyDescent="0.25">
      <c r="B50" s="3" t="s">
        <v>25</v>
      </c>
      <c r="C50" s="3" t="s">
        <v>26</v>
      </c>
      <c r="D50" s="3" t="s">
        <v>41</v>
      </c>
      <c r="E50" s="5">
        <v>0</v>
      </c>
    </row>
    <row r="51" spans="1:5" x14ac:dyDescent="0.25">
      <c r="B51" s="3" t="s">
        <v>15</v>
      </c>
      <c r="C51" s="3" t="s">
        <v>27</v>
      </c>
      <c r="D51" s="3" t="s">
        <v>41</v>
      </c>
      <c r="E51" s="5">
        <v>0</v>
      </c>
    </row>
    <row r="54" spans="1:5" x14ac:dyDescent="0.25">
      <c r="A54" s="4" t="s">
        <v>28</v>
      </c>
      <c r="B54" s="4" t="s">
        <v>43</v>
      </c>
    </row>
    <row r="55" spans="1:5" x14ac:dyDescent="0.25">
      <c r="B55" s="3" t="s">
        <v>3</v>
      </c>
      <c r="C55" s="3" t="s">
        <v>4</v>
      </c>
      <c r="D55" s="3" t="s">
        <v>30</v>
      </c>
      <c r="E55" s="3" t="s">
        <v>31</v>
      </c>
    </row>
    <row r="56" spans="1:5" x14ac:dyDescent="0.25">
      <c r="B56" s="3" t="s">
        <v>13</v>
      </c>
      <c r="C56" s="3" t="s">
        <v>19</v>
      </c>
      <c r="D56" s="3" t="s">
        <v>44</v>
      </c>
      <c r="E56" s="5">
        <v>1</v>
      </c>
    </row>
    <row r="57" spans="1:5" x14ac:dyDescent="0.25">
      <c r="B57" s="3" t="s">
        <v>14</v>
      </c>
      <c r="C57" s="3" t="s">
        <v>20</v>
      </c>
      <c r="D57" s="3" t="s">
        <v>44</v>
      </c>
      <c r="E57" s="5">
        <v>1</v>
      </c>
    </row>
    <row r="58" spans="1:5" x14ac:dyDescent="0.25">
      <c r="B58" s="3" t="s">
        <v>21</v>
      </c>
      <c r="C58" s="3" t="s">
        <v>22</v>
      </c>
      <c r="D58" s="3" t="s">
        <v>44</v>
      </c>
      <c r="E58" s="5">
        <v>1</v>
      </c>
    </row>
    <row r="59" spans="1:5" x14ac:dyDescent="0.25">
      <c r="B59" s="3" t="s">
        <v>16</v>
      </c>
      <c r="C59" s="3" t="s">
        <v>23</v>
      </c>
      <c r="D59" s="3" t="s">
        <v>44</v>
      </c>
      <c r="E59" s="5">
        <v>1</v>
      </c>
    </row>
    <row r="60" spans="1:5" x14ac:dyDescent="0.25">
      <c r="B60" s="3" t="s">
        <v>17</v>
      </c>
      <c r="C60" s="3" t="s">
        <v>24</v>
      </c>
      <c r="D60" s="3" t="s">
        <v>44</v>
      </c>
      <c r="E60" s="5">
        <v>1</v>
      </c>
    </row>
    <row r="61" spans="1:5" x14ac:dyDescent="0.25">
      <c r="B61" s="3" t="s">
        <v>25</v>
      </c>
      <c r="C61" s="3" t="s">
        <v>26</v>
      </c>
      <c r="D61" s="3" t="s">
        <v>44</v>
      </c>
      <c r="E61" s="5">
        <v>1</v>
      </c>
    </row>
    <row r="62" spans="1:5" x14ac:dyDescent="0.25">
      <c r="B62" s="3" t="s">
        <v>15</v>
      </c>
      <c r="C62" s="3" t="s">
        <v>27</v>
      </c>
      <c r="D62" s="3" t="s">
        <v>44</v>
      </c>
      <c r="E62" s="5">
        <v>1</v>
      </c>
    </row>
    <row r="65" spans="1:5" x14ac:dyDescent="0.25">
      <c r="A65" s="4" t="s">
        <v>28</v>
      </c>
      <c r="B65" s="4" t="s">
        <v>45</v>
      </c>
    </row>
    <row r="66" spans="1:5" x14ac:dyDescent="0.25">
      <c r="B66" s="3" t="s">
        <v>3</v>
      </c>
      <c r="C66" s="3" t="s">
        <v>4</v>
      </c>
      <c r="D66" s="3" t="s">
        <v>30</v>
      </c>
      <c r="E66" s="3" t="s">
        <v>31</v>
      </c>
    </row>
    <row r="67" spans="1:5" x14ac:dyDescent="0.25">
      <c r="B67" s="3" t="s">
        <v>13</v>
      </c>
      <c r="C67" s="3" t="s">
        <v>19</v>
      </c>
      <c r="D67" s="3" t="s">
        <v>41</v>
      </c>
      <c r="E67" s="5">
        <v>0</v>
      </c>
    </row>
    <row r="68" spans="1:5" x14ac:dyDescent="0.25">
      <c r="B68" s="3" t="s">
        <v>14</v>
      </c>
      <c r="C68" s="3" t="s">
        <v>20</v>
      </c>
      <c r="D68" s="3" t="s">
        <v>41</v>
      </c>
      <c r="E68" s="5">
        <v>0</v>
      </c>
    </row>
    <row r="69" spans="1:5" x14ac:dyDescent="0.25">
      <c r="B69" s="3" t="s">
        <v>21</v>
      </c>
      <c r="C69" s="3" t="s">
        <v>22</v>
      </c>
      <c r="D69" s="3" t="s">
        <v>41</v>
      </c>
      <c r="E69" s="5">
        <v>0</v>
      </c>
    </row>
    <row r="70" spans="1:5" x14ac:dyDescent="0.25">
      <c r="B70" s="3" t="s">
        <v>16</v>
      </c>
      <c r="C70" s="3" t="s">
        <v>23</v>
      </c>
      <c r="D70" s="3" t="s">
        <v>41</v>
      </c>
      <c r="E70" s="5">
        <v>0</v>
      </c>
    </row>
    <row r="71" spans="1:5" x14ac:dyDescent="0.25">
      <c r="B71" s="3" t="s">
        <v>17</v>
      </c>
      <c r="C71" s="3" t="s">
        <v>24</v>
      </c>
      <c r="D71" s="3" t="s">
        <v>41</v>
      </c>
      <c r="E71" s="5">
        <v>0</v>
      </c>
    </row>
    <row r="72" spans="1:5" x14ac:dyDescent="0.25">
      <c r="B72" s="3" t="s">
        <v>25</v>
      </c>
      <c r="C72" s="3" t="s">
        <v>26</v>
      </c>
      <c r="D72" s="3" t="s">
        <v>41</v>
      </c>
      <c r="E72" s="5">
        <v>0</v>
      </c>
    </row>
    <row r="73" spans="1:5" x14ac:dyDescent="0.25">
      <c r="B73" s="3" t="s">
        <v>15</v>
      </c>
      <c r="C73" s="3" t="s">
        <v>27</v>
      </c>
      <c r="D73" s="3" t="s">
        <v>41</v>
      </c>
      <c r="E73" s="5">
        <v>0</v>
      </c>
    </row>
    <row r="76" spans="1:5" x14ac:dyDescent="0.25">
      <c r="A76" s="4" t="s">
        <v>28</v>
      </c>
      <c r="B76" s="4" t="s">
        <v>46</v>
      </c>
    </row>
    <row r="77" spans="1:5" x14ac:dyDescent="0.25">
      <c r="B77" s="3" t="s">
        <v>3</v>
      </c>
      <c r="C77" s="3" t="s">
        <v>4</v>
      </c>
      <c r="D77" s="3" t="s">
        <v>30</v>
      </c>
      <c r="E77" s="3" t="s">
        <v>31</v>
      </c>
    </row>
    <row r="78" spans="1:5" x14ac:dyDescent="0.25">
      <c r="B78" s="3" t="s">
        <v>13</v>
      </c>
      <c r="C78" s="3" t="s">
        <v>19</v>
      </c>
      <c r="D78" s="3" t="s">
        <v>41</v>
      </c>
      <c r="E78" s="5">
        <v>0</v>
      </c>
    </row>
    <row r="79" spans="1:5" x14ac:dyDescent="0.25">
      <c r="B79" s="3" t="s">
        <v>14</v>
      </c>
      <c r="C79" s="3" t="s">
        <v>20</v>
      </c>
      <c r="D79" s="3" t="s">
        <v>41</v>
      </c>
      <c r="E79" s="5">
        <v>0</v>
      </c>
    </row>
    <row r="80" spans="1:5" x14ac:dyDescent="0.25">
      <c r="B80" s="3" t="s">
        <v>21</v>
      </c>
      <c r="C80" s="3" t="s">
        <v>22</v>
      </c>
      <c r="D80" s="3" t="s">
        <v>41</v>
      </c>
      <c r="E80" s="5">
        <v>0</v>
      </c>
    </row>
    <row r="81" spans="2:5" x14ac:dyDescent="0.25">
      <c r="B81" s="3" t="s">
        <v>16</v>
      </c>
      <c r="C81" s="3" t="s">
        <v>23</v>
      </c>
      <c r="D81" s="3" t="s">
        <v>41</v>
      </c>
      <c r="E81" s="5">
        <v>0</v>
      </c>
    </row>
    <row r="82" spans="2:5" x14ac:dyDescent="0.25">
      <c r="B82" s="3" t="s">
        <v>17</v>
      </c>
      <c r="C82" s="3" t="s">
        <v>24</v>
      </c>
      <c r="D82" s="3" t="s">
        <v>41</v>
      </c>
      <c r="E82" s="5">
        <v>0</v>
      </c>
    </row>
    <row r="83" spans="2:5" x14ac:dyDescent="0.25">
      <c r="B83" s="3" t="s">
        <v>25</v>
      </c>
      <c r="C83" s="3" t="s">
        <v>26</v>
      </c>
      <c r="D83" s="3" t="s">
        <v>41</v>
      </c>
      <c r="E83" s="5">
        <v>0</v>
      </c>
    </row>
    <row r="84" spans="2:5" x14ac:dyDescent="0.25">
      <c r="B84" s="3" t="s">
        <v>15</v>
      </c>
      <c r="C84" s="3" t="s">
        <v>27</v>
      </c>
      <c r="D84" s="3" t="s">
        <v>41</v>
      </c>
      <c r="E84" s="5">
        <v>0</v>
      </c>
    </row>
  </sheetData>
  <phoneticPr fontId="2" type="noConversion"/>
  <pageMargins left="0.7" right="0.7" top="0.75" bottom="0.75" header="0.3" footer="0.3"/>
  <tableParts count="8">
    <tablePart r:id="rId1"/>
    <tablePart r:id="rId2"/>
    <tablePart r:id="rId3"/>
    <tablePart r:id="rId4"/>
    <tablePart r:id="rId5"/>
    <tablePart r:id="rId6"/>
    <tablePart r:id="rId7"/>
    <tablePart r:id="rId8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J 0 t D W c G i x T y l A A A A 9 Q A A A B I A H A B D b 2 5 m a W c v U G F j a 2 F n Z S 5 4 b W w g o h g A K K A U A A A A A A A A A A A A A A A A A A A A A A A A A A A A h Y + x D o I w F E V / h X S n L R C j I Y 8 y u D h I Q m J i X E m p 0 A g P Q 4 v l 3 x z 8 J H 9 B j K J u j v f c M 9 x 7 v 9 4 g H d v G u 6 j e 6 A 4 T E l B O P I W y K z V W C R n s 0 V + R V E B e y F N R K W + S 0 c S j K R N S W 3 u O G X P O U R f R r q 9 Y y H n A D t l 2 J 2 v V F u Q j 6 / + y r 9 H Y A q U i A v a v M S K k Q R T R x Z J y Y D O D T O O 3 D 6 e 5 z / Y H w n p o 7 N A r o d D P N 8 D m C O x 9 Q T w A U E s D B B Q A A g A I A C d L Q 1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n S 0 N Z K I p H u A 4 A A A A R A A A A E w A c A E Z v c m 1 1 b G F z L 1 N l Y 3 R p b 2 4 x L m 0 g o h g A K K A U A A A A A A A A A A A A A A A A A A A A A A A A A A A A K 0 5 N L s n M z 1 M I h t C G 1 g B Q S w E C L Q A U A A I A C A A n S 0 N Z w a L F P K U A A A D 1 A A A A E g A A A A A A A A A A A A A A A A A A A A A A Q 2 9 u Z m l n L 1 B h Y 2 t h Z 2 U u e G 1 s U E s B A i 0 A F A A C A A g A J 0 t D W Q / K 6 a u k A A A A 6 Q A A A B M A A A A A A A A A A A A A A A A A 8 Q A A A F t D b 2 5 0 Z W 5 0 X 1 R 5 c G V z X S 5 4 b W x Q S w E C L Q A U A A I A C A A n S 0 N Z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0 Q w X 7 d S N G k 6 r 6 M s s r F 5 D W g A A A A A C A A A A A A A Q Z g A A A A E A A C A A A A D l U 2 M q s P H k V e t Q l t c 5 R K 6 C V b g R D / j e a 3 7 a V K I + h q J x 4 g A A A A A O g A A A A A I A A C A A A A C + Q X j b 8 R H M x y + L h V 0 g N z h q G k u B + K k P Q p a t E 6 O F n v r d v 1 A A A A A u 3 g q z M V g d I 4 q s 1 e v 6 p 3 v c y C 2 + 6 Q / 9 t H c K E / D x d P J k W v G Y h T I A g O o I + Q 4 c 8 5 I 8 K w A 6 C i B 0 e I h T Y j 9 M N Z 4 / d s o o C 0 X 1 8 7 h 8 x B B B 2 B G 3 A / e T L E A A A A B U u K h b A G o Q P M R d T 9 k Y r 1 u v 9 i F l Y k j Z Z 6 g V k u U B C l b A M O 1 H 6 j Z 1 o 0 h F r V K C p i B Z r W m n H / S S w f Y s M T s V s i E g y G v q < / D a t a M a s h u p > 
</file>

<file path=customXml/itemProps1.xml><?xml version="1.0" encoding="utf-8"?>
<ds:datastoreItem xmlns:ds="http://schemas.openxmlformats.org/officeDocument/2006/customXml" ds:itemID="{31161AD9-7959-4DD6-9E1E-9560E663CA9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Moisture</vt:lpstr>
      <vt:lpstr>Aerobic Plate Count</vt:lpstr>
      <vt:lpstr>Coliforms</vt:lpstr>
      <vt:lpstr>E. Coli Count Plate</vt:lpstr>
      <vt:lpstr>Yeast and Mould</vt:lpstr>
      <vt:lpstr>Salmonella</vt:lpstr>
      <vt:lpstr>Coag Positive Staph aure</vt:lpstr>
      <vt:lpstr>Standards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Administrator1</dc:creator>
  <cp:keywords/>
  <dc:description/>
  <cp:lastModifiedBy>Jericka Marco</cp:lastModifiedBy>
  <cp:revision/>
  <dcterms:created xsi:type="dcterms:W3CDTF">2024-10-02T23:11:50Z</dcterms:created>
  <dcterms:modified xsi:type="dcterms:W3CDTF">2024-10-07T07:11:22Z</dcterms:modified>
  <cp:category/>
  <cp:contentStatus/>
</cp:coreProperties>
</file>